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5.xml" ContentType="application/vnd.openxmlformats-officedocument.drawing+xml"/>
  <Override PartName="/xl/ctrlProps/ctrlProp11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12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sovcombank.group\fs\msk\New-Ipoteka\Отчеты\Партнеры\Юля\Юля\ПРАВИЛА\СТАНДАРТ\"/>
    </mc:Choice>
  </mc:AlternateContent>
  <workbookProtection workbookAlgorithmName="SHA-512" workbookHashValue="7x1szK59T/CKhhmxE/E0tIpTH05Df/RSaF0WblqWSsIVT224i5z5paSOiKfmDICYrDxMkFvFdvQUy0vJYsZyag==" workbookSaltValue="D1vPQMv04KE+i6JRM1QupA==" workbookSpinCount="100000" lockStructure="1"/>
  <bookViews>
    <workbookView xWindow="0" yWindow="0" windowWidth="28800" windowHeight="11100" tabRatio="889" firstSheet="5" activeTab="6"/>
  </bookViews>
  <sheets>
    <sheet name="ReadMe" sheetId="15" state="hidden" r:id="rId1"/>
    <sheet name="вводные" sheetId="13" state="hidden" r:id="rId2"/>
    <sheet name="тарифы для заполнения" sheetId="14" state="hidden" r:id="rId3"/>
    <sheet name="тарифы" sheetId="3" state="hidden" r:id="rId4"/>
    <sheet name="данные" sheetId="2" state="hidden" r:id="rId5"/>
    <sheet name="Калькулятор" sheetId="1" r:id="rId6"/>
    <sheet name="Снижение ставки" sheetId="4" r:id="rId7"/>
    <sheet name="Субсидирование+комбо" sheetId="7" state="hidden" r:id="rId8"/>
    <sheet name="Комбо" sheetId="6" state="hidden" r:id="rId9"/>
    <sheet name="ДКПЗН" sheetId="20" state="hidden" r:id="rId10"/>
  </sheets>
  <definedNames>
    <definedName name="_xlnm._FilterDatabase" localSheetId="3" hidden="1">тарифы!$A$1:$AU$35</definedName>
    <definedName name="_xlnm._FilterDatabase" localSheetId="2" hidden="1">'тарифы для заполнения'!$A$2:$AK$57</definedName>
  </definedNames>
  <calcPr calcId="152511" iterateCount="10000" iterateDelta="0.0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D16" i="4"/>
  <c r="D17" i="4"/>
  <c r="D18" i="4"/>
  <c r="D19" i="4"/>
  <c r="W2" i="6" l="1"/>
  <c r="W5" i="6" s="1"/>
  <c r="AH55" i="2" l="1"/>
  <c r="AI55" i="2"/>
  <c r="AJ55" i="2"/>
  <c r="AK55" i="2"/>
  <c r="AL55" i="2"/>
  <c r="AH56" i="2"/>
  <c r="AI56" i="2"/>
  <c r="AJ56" i="2"/>
  <c r="AK56" i="2"/>
  <c r="AL56" i="2"/>
  <c r="AH57" i="2"/>
  <c r="AI57" i="2"/>
  <c r="AJ57" i="2"/>
  <c r="AK57" i="2"/>
  <c r="AL57" i="2"/>
  <c r="AH58" i="2"/>
  <c r="AI58" i="2"/>
  <c r="AJ58" i="2"/>
  <c r="AK58" i="2"/>
  <c r="AL58" i="2"/>
  <c r="AH59" i="2"/>
  <c r="AI59" i="2"/>
  <c r="AJ59" i="2"/>
  <c r="AK59" i="2"/>
  <c r="AL59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F56" i="2"/>
  <c r="F57" i="2"/>
  <c r="F58" i="2"/>
  <c r="F59" i="2"/>
  <c r="F55" i="2"/>
  <c r="AI16" i="2"/>
  <c r="AJ16" i="2"/>
  <c r="AK16" i="2"/>
  <c r="AL16" i="2"/>
  <c r="AI17" i="2"/>
  <c r="AJ17" i="2"/>
  <c r="AK17" i="2"/>
  <c r="AL17" i="2"/>
  <c r="AI18" i="2"/>
  <c r="AJ18" i="2"/>
  <c r="AK18" i="2"/>
  <c r="AL18" i="2"/>
  <c r="AI19" i="2"/>
  <c r="AJ19" i="2"/>
  <c r="AK19" i="2"/>
  <c r="AL19" i="2"/>
  <c r="AI20" i="2"/>
  <c r="AJ20" i="2"/>
  <c r="AK20" i="2"/>
  <c r="AL20" i="2"/>
  <c r="AI29" i="2"/>
  <c r="AJ29" i="2"/>
  <c r="AK29" i="2"/>
  <c r="AL29" i="2"/>
  <c r="AI30" i="2"/>
  <c r="AJ30" i="2"/>
  <c r="AK30" i="2"/>
  <c r="AL30" i="2"/>
  <c r="AI31" i="2"/>
  <c r="AJ31" i="2"/>
  <c r="AK31" i="2"/>
  <c r="AL31" i="2"/>
  <c r="AI32" i="2"/>
  <c r="AJ32" i="2"/>
  <c r="AK32" i="2"/>
  <c r="AL32" i="2"/>
  <c r="AI33" i="2"/>
  <c r="AJ33" i="2"/>
  <c r="AK33" i="2"/>
  <c r="AL33" i="2"/>
  <c r="AI42" i="2"/>
  <c r="AJ42" i="2"/>
  <c r="AK42" i="2"/>
  <c r="AL42" i="2"/>
  <c r="AI43" i="2"/>
  <c r="AJ43" i="2"/>
  <c r="AK43" i="2"/>
  <c r="AL43" i="2"/>
  <c r="AI44" i="2"/>
  <c r="AJ44" i="2"/>
  <c r="AK44" i="2"/>
  <c r="AL44" i="2"/>
  <c r="AI45" i="2"/>
  <c r="AJ45" i="2"/>
  <c r="AK45" i="2"/>
  <c r="AL45" i="2"/>
  <c r="AI46" i="2"/>
  <c r="AJ46" i="2"/>
  <c r="AK46" i="2"/>
  <c r="AL46" i="2"/>
  <c r="S23" i="7"/>
  <c r="N2" i="7"/>
  <c r="N6" i="7" s="1"/>
  <c r="O20" i="1"/>
  <c r="O21" i="1" s="1"/>
  <c r="S24" i="7"/>
  <c r="S22" i="7"/>
  <c r="S20" i="7"/>
  <c r="S16" i="7"/>
  <c r="S14" i="7"/>
  <c r="S10" i="7"/>
  <c r="S8" i="7"/>
  <c r="S4" i="7"/>
  <c r="O22" i="6"/>
  <c r="O20" i="6"/>
  <c r="N7" i="7" a="1"/>
  <c r="O22" i="1" l="1"/>
  <c r="N7" i="7"/>
  <c r="O4" i="6" l="1"/>
  <c r="A48" i="2" l="1"/>
  <c r="A35" i="2"/>
  <c r="A46" i="2" s="1"/>
  <c r="A22" i="2"/>
  <c r="A30" i="2" s="1"/>
  <c r="A33" i="2"/>
  <c r="A25" i="2"/>
  <c r="A26" i="2"/>
  <c r="A17" i="2"/>
  <c r="A18" i="2"/>
  <c r="A16" i="2"/>
  <c r="A11" i="2"/>
  <c r="A14" i="2"/>
  <c r="A10" i="2"/>
  <c r="A9" i="2"/>
  <c r="A19" i="2" s="1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A45" i="2" l="1"/>
  <c r="A36" i="2"/>
  <c r="A37" i="2"/>
  <c r="A44" i="2"/>
  <c r="A13" i="2"/>
  <c r="A20" i="2"/>
  <c r="A23" i="2"/>
  <c r="A32" i="2"/>
  <c r="A40" i="2"/>
  <c r="A42" i="2"/>
  <c r="A43" i="2"/>
  <c r="A38" i="2"/>
  <c r="A12" i="2"/>
  <c r="A39" i="2"/>
  <c r="A24" i="2"/>
  <c r="A31" i="2"/>
  <c r="A27" i="2"/>
  <c r="A29" i="2"/>
  <c r="AF16" i="2"/>
  <c r="AG16" i="2"/>
  <c r="AH16" i="2"/>
  <c r="AF17" i="2"/>
  <c r="AG17" i="2"/>
  <c r="AH17" i="2"/>
  <c r="AF18" i="2"/>
  <c r="AG18" i="2"/>
  <c r="AH18" i="2"/>
  <c r="AF19" i="2"/>
  <c r="AG19" i="2"/>
  <c r="AH19" i="2"/>
  <c r="AF20" i="2"/>
  <c r="AG20" i="2"/>
  <c r="AH20" i="2"/>
  <c r="J14" i="1" l="1"/>
  <c r="C18" i="14" l="1"/>
  <c r="D18" i="14"/>
  <c r="C19" i="14"/>
  <c r="D19" i="14"/>
  <c r="C20" i="14"/>
  <c r="D20" i="14"/>
  <c r="C21" i="14"/>
  <c r="D21" i="14"/>
  <c r="C22" i="14"/>
  <c r="D22" i="14"/>
  <c r="C23" i="14"/>
  <c r="D23" i="14"/>
  <c r="C24" i="14"/>
  <c r="D24" i="14"/>
  <c r="C25" i="14"/>
  <c r="D25" i="14"/>
  <c r="C26" i="14"/>
  <c r="D26" i="14"/>
  <c r="C27" i="14"/>
  <c r="D27" i="14"/>
  <c r="C28" i="14"/>
  <c r="D28" i="14"/>
  <c r="C29" i="14"/>
  <c r="D29" i="14"/>
  <c r="C30" i="14"/>
  <c r="D30" i="14"/>
  <c r="C31" i="14"/>
  <c r="D31" i="14"/>
  <c r="C32" i="14"/>
  <c r="D32" i="14"/>
  <c r="C4" i="14"/>
  <c r="D4" i="14"/>
  <c r="C5" i="14"/>
  <c r="D5" i="14"/>
  <c r="C6" i="14"/>
  <c r="D6" i="14"/>
  <c r="C7" i="14"/>
  <c r="D7" i="14"/>
  <c r="C8" i="14"/>
  <c r="D8" i="14"/>
  <c r="AA17" i="2" l="1"/>
  <c r="AB17" i="2"/>
  <c r="AC17" i="2"/>
  <c r="AD17" i="2"/>
  <c r="AE17" i="2"/>
  <c r="AA18" i="2"/>
  <c r="AB18" i="2"/>
  <c r="AC18" i="2"/>
  <c r="AD18" i="2"/>
  <c r="AE18" i="2"/>
  <c r="AA19" i="2"/>
  <c r="AB19" i="2"/>
  <c r="AC19" i="2"/>
  <c r="AD19" i="2"/>
  <c r="AE19" i="2"/>
  <c r="AA20" i="2"/>
  <c r="AB20" i="2"/>
  <c r="AC20" i="2"/>
  <c r="AD20" i="2"/>
  <c r="AE20" i="2"/>
  <c r="AB16" i="2"/>
  <c r="AC16" i="2"/>
  <c r="AD16" i="2"/>
  <c r="AE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X16" i="2"/>
  <c r="Y16" i="2"/>
  <c r="Z16" i="2"/>
  <c r="AA16" i="2"/>
  <c r="O8" i="1" l="1"/>
  <c r="O7" i="1" l="1"/>
  <c r="O17" i="1" s="1"/>
  <c r="O16" i="1" l="1"/>
  <c r="O10" i="1"/>
  <c r="K15" i="1"/>
  <c r="O19" i="1"/>
  <c r="O23" i="1" s="1"/>
  <c r="O11" i="1"/>
  <c r="K27" i="1"/>
  <c r="O24" i="1"/>
  <c r="O13" i="1" l="1"/>
  <c r="O12" i="1"/>
  <c r="O33" i="1"/>
  <c r="O30" i="1"/>
  <c r="O31" i="1" s="1"/>
  <c r="O32" i="1" l="1"/>
  <c r="E56" i="2"/>
  <c r="E57" i="2"/>
  <c r="E58" i="2"/>
  <c r="E59" i="2"/>
  <c r="E55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E16" i="2"/>
  <c r="F27" i="7" l="1"/>
  <c r="F28" i="7"/>
  <c r="F29" i="7"/>
  <c r="F26" i="7"/>
  <c r="O8" i="6"/>
  <c r="O16" i="6"/>
  <c r="O14" i="6"/>
  <c r="O10" i="6" l="1"/>
  <c r="J15" i="1" l="1"/>
  <c r="J31" i="1"/>
  <c r="W4" i="6"/>
  <c r="W1" i="6"/>
  <c r="O9" i="1" l="1"/>
  <c r="K24" i="1" s="1"/>
  <c r="F25" i="6" l="1"/>
  <c r="F27" i="6"/>
  <c r="F26" i="6"/>
  <c r="W3" i="6" l="1"/>
  <c r="W6" i="6" s="1"/>
  <c r="E10" i="6" l="1"/>
  <c r="O15" i="1" l="1"/>
  <c r="D11" i="20" l="1"/>
  <c r="C69" i="2" l="1"/>
  <c r="O26" i="1" l="1"/>
  <c r="O27" i="1" s="1"/>
  <c r="C87" i="2"/>
  <c r="C88" i="2"/>
  <c r="C89" i="2"/>
  <c r="C90" i="2"/>
  <c r="C91" i="2"/>
  <c r="C92" i="2"/>
  <c r="H43" i="1" l="1"/>
  <c r="H45" i="1"/>
  <c r="O28" i="1"/>
  <c r="O29" i="1" s="1"/>
  <c r="C6" i="2" l="1"/>
  <c r="K38" i="1" l="1"/>
  <c r="J42" i="1" l="1"/>
  <c r="J12" i="1"/>
  <c r="K12" i="1" l="1"/>
  <c r="K11" i="1"/>
  <c r="O6" i="1"/>
  <c r="H39" i="1" l="1"/>
  <c r="H38" i="1"/>
  <c r="H19" i="1"/>
  <c r="H41" i="1"/>
  <c r="J30" i="1" l="1"/>
  <c r="J16" i="1" s="1"/>
  <c r="K10" i="1" l="1"/>
  <c r="K13" i="1"/>
  <c r="C7" i="1" l="1"/>
  <c r="C8" i="7" l="1"/>
  <c r="C8" i="6"/>
  <c r="I27" i="6" l="1"/>
  <c r="I25" i="6" s="1"/>
  <c r="O23" i="6"/>
  <c r="E27" i="6" s="1"/>
  <c r="E7" i="7"/>
  <c r="E8" i="7"/>
  <c r="E19" i="7"/>
  <c r="J29" i="7"/>
  <c r="E29" i="7"/>
  <c r="E28" i="7"/>
  <c r="C9" i="6"/>
  <c r="O24" i="6"/>
  <c r="E8" i="6"/>
  <c r="E7" i="6"/>
  <c r="C27" i="6"/>
  <c r="G27" i="6" l="1"/>
  <c r="E25" i="6"/>
  <c r="M28" i="7"/>
  <c r="M29" i="7"/>
  <c r="K10" i="7"/>
  <c r="J17" i="7" s="1"/>
  <c r="I26" i="6" l="1"/>
  <c r="C25" i="6"/>
  <c r="G25" i="6" l="1"/>
  <c r="J25" i="6" s="1"/>
  <c r="B26" i="6"/>
  <c r="C26" i="6" l="1"/>
  <c r="E26" i="6" s="1"/>
  <c r="F15" i="20" l="1"/>
  <c r="G15" i="20" s="1"/>
  <c r="D12" i="20"/>
  <c r="D15" i="20"/>
  <c r="E15" i="20" s="1"/>
  <c r="D14" i="20"/>
  <c r="D13" i="20"/>
  <c r="F13" i="20" s="1"/>
  <c r="D6" i="20"/>
  <c r="F14" i="20" l="1"/>
  <c r="E12" i="20"/>
  <c r="F12" i="20"/>
  <c r="E11" i="20"/>
  <c r="F11" i="20"/>
  <c r="H15" i="20"/>
  <c r="E14" i="20"/>
  <c r="E13" i="20"/>
  <c r="H12" i="20" l="1"/>
  <c r="H11" i="20"/>
  <c r="G13" i="20"/>
  <c r="H13" i="20"/>
  <c r="G11" i="20"/>
  <c r="G12" i="20"/>
  <c r="H14" i="20"/>
  <c r="G14" i="20"/>
  <c r="K29" i="1" l="1"/>
  <c r="H42" i="1"/>
  <c r="I4" i="4" l="1"/>
  <c r="J19" i="1" l="1"/>
  <c r="E19" i="4" l="1"/>
  <c r="E18" i="4"/>
  <c r="E17" i="4"/>
  <c r="E16" i="4"/>
  <c r="D20" i="4" l="1"/>
  <c r="J3" i="7" l="1"/>
  <c r="E20" i="4"/>
  <c r="E15" i="4"/>
  <c r="J13" i="7" l="1"/>
  <c r="C3" i="14" l="1"/>
  <c r="D17" i="14" l="1"/>
  <c r="C17" i="14"/>
  <c r="D3" i="14"/>
  <c r="J2" i="7" l="1"/>
  <c r="C233" i="2" l="1"/>
  <c r="C232" i="2"/>
  <c r="C231" i="2"/>
  <c r="C230" i="2"/>
  <c r="C229" i="2"/>
  <c r="C228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1" i="2"/>
  <c r="C200" i="2"/>
  <c r="C199" i="2"/>
  <c r="C198" i="2"/>
  <c r="C197" i="2"/>
  <c r="C196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69" i="2"/>
  <c r="C168" i="2"/>
  <c r="C167" i="2"/>
  <c r="C166" i="2"/>
  <c r="C165" i="2"/>
  <c r="C164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7" i="2"/>
  <c r="C136" i="2"/>
  <c r="C135" i="2"/>
  <c r="C134" i="2"/>
  <c r="C133" i="2"/>
  <c r="C132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5" i="2"/>
  <c r="C104" i="2"/>
  <c r="C103" i="2"/>
  <c r="C102" i="2"/>
  <c r="C101" i="2"/>
  <c r="C100" i="2"/>
  <c r="C98" i="2"/>
  <c r="C97" i="2"/>
  <c r="C96" i="2"/>
  <c r="C95" i="2"/>
  <c r="C94" i="2"/>
  <c r="C93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3" i="2" l="1"/>
  <c r="C2" i="2"/>
  <c r="N3" i="7" l="1"/>
  <c r="N4" i="7" s="1"/>
  <c r="N5" i="7" l="1"/>
  <c r="J4" i="7"/>
  <c r="G28" i="7"/>
  <c r="C7" i="2" l="1"/>
  <c r="K11" i="7" l="1"/>
  <c r="J39" i="1" l="1"/>
  <c r="O5" i="1" s="1"/>
  <c r="K13" i="7"/>
  <c r="K12" i="7"/>
  <c r="J40" i="1" l="1"/>
  <c r="F272" i="1" l="1"/>
  <c r="E11" i="4"/>
  <c r="F172" i="1" l="1"/>
  <c r="F235" i="1"/>
  <c r="F214" i="1"/>
  <c r="F144" i="1"/>
  <c r="F359" i="1"/>
  <c r="F315" i="1"/>
  <c r="F217" i="1"/>
  <c r="F363" i="1"/>
  <c r="F59" i="1"/>
  <c r="F55" i="1"/>
  <c r="F16" i="1"/>
  <c r="F44" i="1"/>
  <c r="F139" i="1"/>
  <c r="F54" i="1"/>
  <c r="F263" i="1"/>
  <c r="F300" i="1"/>
  <c r="F283" i="1"/>
  <c r="F310" i="1"/>
  <c r="F41" i="1"/>
  <c r="F34" i="1"/>
  <c r="F134" i="1"/>
  <c r="F297" i="1"/>
  <c r="F137" i="1"/>
  <c r="F192" i="1"/>
  <c r="F28" i="1"/>
  <c r="F183" i="1"/>
  <c r="F210" i="1"/>
  <c r="F213" i="1"/>
  <c r="F208" i="1"/>
  <c r="F296" i="1"/>
  <c r="F236" i="1"/>
  <c r="F331" i="1"/>
  <c r="F267" i="1"/>
  <c r="F107" i="1"/>
  <c r="F262" i="1"/>
  <c r="F86" i="1"/>
  <c r="F265" i="1"/>
  <c r="F89" i="1"/>
  <c r="F366" i="1"/>
  <c r="F311" i="1"/>
  <c r="F135" i="1"/>
  <c r="F130" i="1"/>
  <c r="F117" i="1"/>
  <c r="F37" i="1"/>
  <c r="F80" i="1"/>
  <c r="F347" i="1"/>
  <c r="F108" i="1"/>
  <c r="F299" i="1"/>
  <c r="F187" i="1"/>
  <c r="F11" i="1"/>
  <c r="F182" i="1"/>
  <c r="F345" i="1"/>
  <c r="F169" i="1"/>
  <c r="F9" i="1"/>
  <c r="F220" i="1"/>
  <c r="F215" i="1"/>
  <c r="F290" i="1"/>
  <c r="F293" i="1"/>
  <c r="F268" i="1"/>
  <c r="F338" i="1"/>
  <c r="F162" i="1"/>
  <c r="F341" i="1"/>
  <c r="F165" i="1"/>
  <c r="F240" i="1"/>
  <c r="F87" i="1"/>
  <c r="F258" i="1"/>
  <c r="F82" i="1"/>
  <c r="F245" i="1"/>
  <c r="F85" i="1"/>
  <c r="F12" i="1"/>
  <c r="F112" i="1"/>
  <c r="F168" i="1"/>
  <c r="F251" i="1"/>
  <c r="F171" i="1"/>
  <c r="F75" i="1"/>
  <c r="F326" i="1"/>
  <c r="F246" i="1"/>
  <c r="F150" i="1"/>
  <c r="F70" i="1"/>
  <c r="F329" i="1"/>
  <c r="F233" i="1"/>
  <c r="F153" i="1"/>
  <c r="F73" i="1"/>
  <c r="F256" i="1"/>
  <c r="F232" i="1"/>
  <c r="F156" i="1"/>
  <c r="F279" i="1"/>
  <c r="F199" i="1"/>
  <c r="F119" i="1"/>
  <c r="F23" i="1"/>
  <c r="F274" i="1"/>
  <c r="F194" i="1"/>
  <c r="F98" i="1"/>
  <c r="F18" i="1"/>
  <c r="F277" i="1"/>
  <c r="F181" i="1"/>
  <c r="F101" i="1"/>
  <c r="F21" i="1"/>
  <c r="F354" i="1"/>
  <c r="F204" i="1"/>
  <c r="F203" i="1"/>
  <c r="F123" i="1"/>
  <c r="F43" i="1"/>
  <c r="F278" i="1"/>
  <c r="F198" i="1"/>
  <c r="F118" i="1"/>
  <c r="F22" i="1"/>
  <c r="F281" i="1"/>
  <c r="F201" i="1"/>
  <c r="F105" i="1"/>
  <c r="F25" i="1"/>
  <c r="F128" i="1"/>
  <c r="F284" i="1"/>
  <c r="F327" i="1"/>
  <c r="F247" i="1"/>
  <c r="F151" i="1"/>
  <c r="F71" i="1"/>
  <c r="F322" i="1"/>
  <c r="F226" i="1"/>
  <c r="F146" i="1"/>
  <c r="F66" i="1"/>
  <c r="F309" i="1"/>
  <c r="F229" i="1"/>
  <c r="F149" i="1"/>
  <c r="F53" i="1"/>
  <c r="F176" i="1"/>
  <c r="F355" i="1"/>
  <c r="F259" i="1"/>
  <c r="F307" i="1"/>
  <c r="F140" i="1"/>
  <c r="F211" i="1"/>
  <c r="F323" i="1"/>
  <c r="F243" i="1"/>
  <c r="F275" i="1"/>
  <c r="F147" i="1"/>
  <c r="F318" i="1"/>
  <c r="F270" i="1"/>
  <c r="F305" i="1"/>
  <c r="F209" i="1"/>
  <c r="F115" i="1"/>
  <c r="F206" i="1"/>
  <c r="F97" i="1"/>
  <c r="F51" i="1"/>
  <c r="F94" i="1"/>
  <c r="F68" i="1"/>
  <c r="F195" i="1"/>
  <c r="F67" i="1"/>
  <c r="F286" i="1"/>
  <c r="F190" i="1"/>
  <c r="F62" i="1"/>
  <c r="F289" i="1"/>
  <c r="F177" i="1"/>
  <c r="F49" i="1"/>
  <c r="F362" i="1"/>
  <c r="F142" i="1"/>
  <c r="F30" i="1"/>
  <c r="F273" i="1"/>
  <c r="F145" i="1"/>
  <c r="F33" i="1"/>
  <c r="F88" i="1"/>
  <c r="F131" i="1"/>
  <c r="F19" i="1"/>
  <c r="F222" i="1"/>
  <c r="F126" i="1"/>
  <c r="F14" i="1"/>
  <c r="F225" i="1"/>
  <c r="F113" i="1"/>
  <c r="F17" i="1"/>
  <c r="F343" i="1"/>
  <c r="F224" i="1"/>
  <c r="F160" i="1"/>
  <c r="F340" i="1"/>
  <c r="F124" i="1"/>
  <c r="F367" i="1"/>
  <c r="F335" i="1"/>
  <c r="F351" i="1"/>
  <c r="F271" i="1"/>
  <c r="F188" i="1"/>
  <c r="F255" i="1"/>
  <c r="F207" i="1"/>
  <c r="F303" i="1"/>
  <c r="F175" i="1"/>
  <c r="F191" i="1"/>
  <c r="F127" i="1"/>
  <c r="F111" i="1"/>
  <c r="F79" i="1"/>
  <c r="F47" i="1"/>
  <c r="F15" i="1"/>
  <c r="F282" i="1"/>
  <c r="F186" i="1"/>
  <c r="F285" i="1"/>
  <c r="F74" i="1"/>
  <c r="F157" i="1"/>
  <c r="F266" i="1"/>
  <c r="F154" i="1"/>
  <c r="F26" i="1"/>
  <c r="F269" i="1"/>
  <c r="F109" i="1"/>
  <c r="F250" i="1"/>
  <c r="F122" i="1"/>
  <c r="F10" i="1"/>
  <c r="F237" i="1"/>
  <c r="F93" i="1"/>
  <c r="F330" i="1"/>
  <c r="F202" i="1"/>
  <c r="F90" i="1"/>
  <c r="F333" i="1"/>
  <c r="F205" i="1"/>
  <c r="F13" i="1"/>
  <c r="F348" i="1"/>
  <c r="F173" i="1"/>
  <c r="F77" i="1"/>
  <c r="F40" i="1"/>
  <c r="F29" i="1"/>
  <c r="F20" i="1"/>
  <c r="F352" i="1"/>
  <c r="F36" i="1"/>
  <c r="F356" i="1"/>
  <c r="F328" i="1"/>
  <c r="F52" i="1"/>
  <c r="F152" i="1"/>
  <c r="F84" i="1"/>
  <c r="F120" i="1"/>
  <c r="F116" i="1"/>
  <c r="F244" i="1"/>
  <c r="F260" i="1"/>
  <c r="F276" i="1"/>
  <c r="F216" i="1"/>
  <c r="F292" i="1"/>
  <c r="F361" i="1"/>
  <c r="F164" i="1"/>
  <c r="F72" i="1"/>
  <c r="F349" i="1"/>
  <c r="F365" i="1"/>
  <c r="F353" i="1"/>
  <c r="F264" i="1"/>
  <c r="F24" i="1"/>
  <c r="F184" i="1"/>
  <c r="F179" i="1"/>
  <c r="F83" i="1"/>
  <c r="F334" i="1"/>
  <c r="F254" i="1"/>
  <c r="F158" i="1"/>
  <c r="F78" i="1"/>
  <c r="F337" i="1"/>
  <c r="F241" i="1"/>
  <c r="F161" i="1"/>
  <c r="F81" i="1"/>
  <c r="F132" i="1"/>
  <c r="F360" i="1"/>
  <c r="F96" i="1"/>
  <c r="F252" i="1"/>
  <c r="F319" i="1"/>
  <c r="F239" i="1"/>
  <c r="F143" i="1"/>
  <c r="F63" i="1"/>
  <c r="F314" i="1"/>
  <c r="F218" i="1"/>
  <c r="F138" i="1"/>
  <c r="F58" i="1"/>
  <c r="F301" i="1"/>
  <c r="F221" i="1"/>
  <c r="F141" i="1"/>
  <c r="F45" i="1"/>
  <c r="F336" i="1"/>
  <c r="F56" i="1"/>
  <c r="F364" i="1"/>
  <c r="F350" i="1"/>
  <c r="F180" i="1"/>
  <c r="F357" i="1"/>
  <c r="F344" i="1"/>
  <c r="F136" i="1"/>
  <c r="F324" i="1"/>
  <c r="F219" i="1"/>
  <c r="F155" i="1"/>
  <c r="F91" i="1"/>
  <c r="F27" i="1"/>
  <c r="F294" i="1"/>
  <c r="F230" i="1"/>
  <c r="F166" i="1"/>
  <c r="F102" i="1"/>
  <c r="F38" i="1"/>
  <c r="F313" i="1"/>
  <c r="F249" i="1"/>
  <c r="F185" i="1"/>
  <c r="F121" i="1"/>
  <c r="F57" i="1"/>
  <c r="F320" i="1"/>
  <c r="F64" i="1"/>
  <c r="F342" i="1"/>
  <c r="F92" i="1"/>
  <c r="F295" i="1"/>
  <c r="F231" i="1"/>
  <c r="F167" i="1"/>
  <c r="F103" i="1"/>
  <c r="F39" i="1"/>
  <c r="F306" i="1"/>
  <c r="F242" i="1"/>
  <c r="F178" i="1"/>
  <c r="F114" i="1"/>
  <c r="F50" i="1"/>
  <c r="F325" i="1"/>
  <c r="F261" i="1"/>
  <c r="F197" i="1"/>
  <c r="F133" i="1"/>
  <c r="F69" i="1"/>
  <c r="F8" i="1"/>
  <c r="F48" i="1"/>
  <c r="F332" i="1"/>
  <c r="F76" i="1"/>
  <c r="F291" i="1"/>
  <c r="F227" i="1"/>
  <c r="F163" i="1"/>
  <c r="F99" i="1"/>
  <c r="F35" i="1"/>
  <c r="F302" i="1"/>
  <c r="F238" i="1"/>
  <c r="F174" i="1"/>
  <c r="F110" i="1"/>
  <c r="F46" i="1"/>
  <c r="F321" i="1"/>
  <c r="F257" i="1"/>
  <c r="F193" i="1"/>
  <c r="F129" i="1"/>
  <c r="F65" i="1"/>
  <c r="F196" i="1"/>
  <c r="F248" i="1"/>
  <c r="F288" i="1"/>
  <c r="F32" i="1"/>
  <c r="F316" i="1"/>
  <c r="F60" i="1"/>
  <c r="F287" i="1"/>
  <c r="F223" i="1"/>
  <c r="F159" i="1"/>
  <c r="F95" i="1"/>
  <c r="F31" i="1"/>
  <c r="F298" i="1"/>
  <c r="F234" i="1"/>
  <c r="F170" i="1"/>
  <c r="F106" i="1"/>
  <c r="F42" i="1"/>
  <c r="F317" i="1"/>
  <c r="F253" i="1"/>
  <c r="F189" i="1"/>
  <c r="F125" i="1"/>
  <c r="F61" i="1"/>
  <c r="F304" i="1"/>
  <c r="F200" i="1"/>
  <c r="F280" i="1"/>
  <c r="F100" i="1"/>
  <c r="F148" i="1"/>
  <c r="F212" i="1"/>
  <c r="F228" i="1"/>
  <c r="F339" i="1"/>
  <c r="F358" i="1"/>
  <c r="F308" i="1"/>
  <c r="F312" i="1"/>
  <c r="F346" i="1"/>
  <c r="K37" i="1"/>
  <c r="F104" i="1"/>
  <c r="H40" i="1" l="1"/>
  <c r="H36" i="1"/>
  <c r="H35" i="1"/>
  <c r="H37" i="1"/>
  <c r="C29" i="7" l="1"/>
  <c r="C28" i="7"/>
  <c r="G29" i="7" l="1"/>
  <c r="K29" i="7" s="1"/>
  <c r="B29" i="7"/>
  <c r="N29" i="7" s="1"/>
  <c r="J28" i="7" l="1"/>
  <c r="K28" i="7" s="1"/>
  <c r="J26" i="7"/>
  <c r="E26" i="7" s="1"/>
  <c r="J27" i="7"/>
  <c r="L29" i="7"/>
  <c r="O29" i="7"/>
  <c r="P29" i="7" s="1"/>
  <c r="M26" i="7" l="1"/>
  <c r="G26" i="7"/>
  <c r="E7" i="4"/>
  <c r="E6" i="4"/>
  <c r="C26" i="7" l="1"/>
  <c r="K17" i="7"/>
  <c r="K14" i="7"/>
  <c r="K16" i="7" s="1"/>
  <c r="B28" i="7" l="1"/>
  <c r="N28" i="7" s="1"/>
  <c r="K15" i="7"/>
  <c r="O28" i="7" l="1"/>
  <c r="P28" i="7" s="1"/>
  <c r="J5" i="7"/>
  <c r="G6" i="7"/>
  <c r="G5" i="7"/>
  <c r="E9" i="7"/>
  <c r="C13" i="7" l="1"/>
  <c r="E12" i="7" s="1"/>
  <c r="L28" i="7"/>
  <c r="D29" i="7"/>
  <c r="J7" i="7" l="1"/>
  <c r="D26" i="7" s="1"/>
  <c r="H29" i="7"/>
  <c r="I29" i="7"/>
  <c r="H26" i="7" l="1"/>
  <c r="I26" i="7"/>
  <c r="D28" i="7"/>
  <c r="D27" i="7"/>
  <c r="H28" i="7" l="1"/>
  <c r="I28" i="7"/>
  <c r="E13" i="6" l="1"/>
  <c r="D25" i="6" l="1"/>
  <c r="H25" i="6" s="1"/>
  <c r="D26" i="6" l="1"/>
  <c r="H26" i="6" s="1"/>
  <c r="D27" i="6"/>
  <c r="E5" i="6"/>
  <c r="A14" i="4" l="1"/>
  <c r="A11" i="4"/>
  <c r="A12" i="4" s="1"/>
  <c r="A13" i="4" l="1"/>
  <c r="F20" i="4" s="1"/>
  <c r="F16" i="4" s="1"/>
  <c r="A15" i="4"/>
  <c r="F5" i="4" s="1"/>
  <c r="F19" i="4" l="1"/>
  <c r="G19" i="4" s="1"/>
  <c r="C21" i="4"/>
  <c r="B21" i="4"/>
  <c r="G16" i="4" l="1"/>
  <c r="G20" i="4"/>
  <c r="H19" i="4"/>
  <c r="H20" i="4"/>
  <c r="F17" i="4"/>
  <c r="G17" i="4" s="1"/>
  <c r="F15" i="4"/>
  <c r="H15" i="4" s="1"/>
  <c r="F18" i="4"/>
  <c r="H18" i="4" s="1"/>
  <c r="H16" i="4" l="1"/>
  <c r="H17" i="4"/>
  <c r="G15" i="4"/>
  <c r="G18" i="4"/>
  <c r="J41" i="1" l="1"/>
  <c r="J43" i="1" l="1"/>
  <c r="J45" i="1" l="1"/>
  <c r="E8" i="1"/>
  <c r="E32" i="1"/>
  <c r="D32" i="1" l="1"/>
  <c r="D8" i="1" l="1"/>
  <c r="E292" i="1"/>
  <c r="E180" i="1"/>
  <c r="E58" i="1"/>
  <c r="E263" i="1"/>
  <c r="E166" i="1"/>
  <c r="E174" i="1"/>
  <c r="E18" i="1"/>
  <c r="E265" i="1"/>
  <c r="E198" i="1"/>
  <c r="E177" i="1"/>
  <c r="E226" i="1"/>
  <c r="E42" i="1"/>
  <c r="E67" i="1"/>
  <c r="E146" i="1"/>
  <c r="E354" i="1"/>
  <c r="E11" i="1"/>
  <c r="E132" i="1"/>
  <c r="E262" i="1"/>
  <c r="E188" i="1"/>
  <c r="E33" i="1"/>
  <c r="E19" i="1"/>
  <c r="E80" i="1"/>
  <c r="E40" i="1"/>
  <c r="E9" i="1"/>
  <c r="E363" i="1"/>
  <c r="E113" i="1"/>
  <c r="E82" i="1"/>
  <c r="E69" i="1"/>
  <c r="E280" i="1"/>
  <c r="E81" i="1"/>
  <c r="E300" i="1"/>
  <c r="E246" i="1"/>
  <c r="E234" i="1"/>
  <c r="E93" i="1"/>
  <c r="E41" i="1"/>
  <c r="E122" i="1"/>
  <c r="E334" i="1"/>
  <c r="E39" i="1"/>
  <c r="E114" i="1"/>
  <c r="E63" i="1"/>
  <c r="E127" i="1"/>
  <c r="E264" i="1"/>
  <c r="E76" i="1"/>
  <c r="E220" i="1"/>
  <c r="E148" i="1"/>
  <c r="E56" i="1"/>
  <c r="E22" i="1"/>
  <c r="E193" i="1"/>
  <c r="E170" i="1"/>
  <c r="E317" i="1"/>
  <c r="E275" i="1"/>
  <c r="E71" i="1"/>
  <c r="E269" i="1"/>
  <c r="E314" i="1"/>
  <c r="E277" i="1"/>
  <c r="E103" i="1"/>
  <c r="E131" i="1"/>
  <c r="E130" i="1"/>
  <c r="E260" i="1"/>
  <c r="E137" i="1"/>
  <c r="E322" i="1"/>
  <c r="E212" i="1"/>
  <c r="E306" i="1"/>
  <c r="E191" i="1"/>
  <c r="E284" i="1"/>
  <c r="E12" i="1"/>
  <c r="E330" i="1"/>
  <c r="E203" i="1"/>
  <c r="E319" i="1"/>
  <c r="E15" i="1"/>
  <c r="E98" i="1"/>
  <c r="E25" i="1"/>
  <c r="E17" i="1"/>
  <c r="E157" i="1"/>
  <c r="E68" i="1"/>
  <c r="E353" i="1"/>
  <c r="E199" i="1"/>
  <c r="E356" i="1"/>
  <c r="E327" i="1"/>
  <c r="E200" i="1"/>
  <c r="E26" i="1"/>
  <c r="E10" i="1"/>
  <c r="E299" i="1"/>
  <c r="E326" i="1"/>
  <c r="E223" i="1"/>
  <c r="E209" i="1"/>
  <c r="E117" i="1"/>
  <c r="E184" i="1"/>
  <c r="E85" i="1"/>
  <c r="E112" i="1"/>
  <c r="E128" i="1"/>
  <c r="E332" i="1"/>
  <c r="E257" i="1"/>
  <c r="E219" i="1"/>
  <c r="E23" i="1"/>
  <c r="E52" i="1"/>
  <c r="E118" i="1"/>
  <c r="E308" i="1"/>
  <c r="E107" i="1"/>
  <c r="E305" i="1"/>
  <c r="E144" i="1"/>
  <c r="E185" i="1"/>
  <c r="E239" i="1"/>
  <c r="E298" i="1"/>
  <c r="E138" i="1"/>
  <c r="E16" i="1"/>
  <c r="E186" i="1"/>
  <c r="E79" i="1"/>
  <c r="E222" i="1"/>
  <c r="E293" i="1"/>
  <c r="E121" i="1"/>
  <c r="E155" i="1"/>
  <c r="E14" i="1"/>
  <c r="E129" i="1"/>
  <c r="E172" i="1"/>
  <c r="E30" i="1"/>
  <c r="E250" i="1"/>
  <c r="E77" i="1"/>
  <c r="E150" i="1"/>
  <c r="E255" i="1"/>
  <c r="E158" i="1"/>
  <c r="E181" i="1"/>
  <c r="E247" i="1"/>
  <c r="E302" i="1"/>
  <c r="E27" i="1"/>
  <c r="E96" i="1"/>
  <c r="E190" i="1"/>
  <c r="E338" i="1"/>
  <c r="E366" i="1"/>
  <c r="E297" i="1"/>
  <c r="E235" i="1"/>
  <c r="E345" i="1"/>
  <c r="E287" i="1"/>
  <c r="E37" i="1"/>
  <c r="E124" i="1"/>
  <c r="E34" i="1"/>
  <c r="E45" i="1"/>
  <c r="E205" i="1"/>
  <c r="E160" i="1"/>
  <c r="E340" i="1"/>
  <c r="E156" i="1"/>
  <c r="E62" i="1"/>
  <c r="E164" i="1"/>
  <c r="E74" i="1"/>
  <c r="E231" i="1"/>
  <c r="E21" i="1"/>
  <c r="E46" i="1"/>
  <c r="E311" i="1"/>
  <c r="E290" i="1"/>
  <c r="E136" i="1"/>
  <c r="E228" i="1"/>
  <c r="E143" i="1"/>
  <c r="E197" i="1"/>
  <c r="E233" i="1"/>
  <c r="E61" i="1"/>
  <c r="E339" i="1"/>
  <c r="E147" i="1"/>
  <c r="E201" i="1"/>
  <c r="E325" i="1"/>
  <c r="E242" i="1"/>
  <c r="E70" i="1"/>
  <c r="E313" i="1"/>
  <c r="E38" i="1"/>
  <c r="E102" i="1"/>
  <c r="E276" i="1"/>
  <c r="E268" i="1"/>
  <c r="E335" i="1"/>
  <c r="E72" i="1"/>
  <c r="E51" i="1"/>
  <c r="E65" i="1"/>
  <c r="E154" i="1"/>
  <c r="E360" i="1"/>
  <c r="E267" i="1"/>
  <c r="E173" i="1"/>
  <c r="E139" i="1"/>
  <c r="E195" i="1"/>
  <c r="E55" i="1"/>
  <c r="E182" i="1"/>
  <c r="E355" i="1"/>
  <c r="E167" i="1"/>
  <c r="E54" i="1"/>
  <c r="E178" i="1"/>
  <c r="E367" i="1"/>
  <c r="E31" i="1"/>
  <c r="E211" i="1"/>
  <c r="E176" i="1"/>
  <c r="E153" i="1"/>
  <c r="E252" i="1"/>
  <c r="E149" i="1"/>
  <c r="E364" i="1"/>
  <c r="E140" i="1"/>
  <c r="E57" i="1"/>
  <c r="E286" i="1"/>
  <c r="E53" i="1"/>
  <c r="E119" i="1"/>
  <c r="E236" i="1"/>
  <c r="E75" i="1"/>
  <c r="E238" i="1"/>
  <c r="E49" i="1"/>
  <c r="E210" i="1"/>
  <c r="E116" i="1"/>
  <c r="E189" i="1"/>
  <c r="E214" i="1"/>
  <c r="E163" i="1"/>
  <c r="E123" i="1"/>
  <c r="E20" i="1"/>
  <c r="E134" i="1"/>
  <c r="E84" i="1"/>
  <c r="E273" i="1"/>
  <c r="E259" i="1"/>
  <c r="E237" i="1"/>
  <c r="E331" i="1"/>
  <c r="E227" i="1"/>
  <c r="E94" i="1"/>
  <c r="E291" i="1"/>
  <c r="E83" i="1"/>
  <c r="E270" i="1"/>
  <c r="E196" i="1"/>
  <c r="E232" i="1"/>
  <c r="E347" i="1"/>
  <c r="E165" i="1"/>
  <c r="E108" i="1"/>
  <c r="E48" i="1"/>
  <c r="E309" i="1"/>
  <c r="E266" i="1"/>
  <c r="E159" i="1"/>
  <c r="E187" i="1"/>
  <c r="E241" i="1"/>
  <c r="E207" i="1"/>
  <c r="E224" i="1"/>
  <c r="E97" i="1"/>
  <c r="E365" i="1"/>
  <c r="E175" i="1"/>
  <c r="E288" i="1"/>
  <c r="E333" i="1"/>
  <c r="E258" i="1"/>
  <c r="E78" i="1"/>
  <c r="E285" i="1"/>
  <c r="E312" i="1"/>
  <c r="E320" i="1"/>
  <c r="E346" i="1"/>
  <c r="E204" i="1"/>
  <c r="E213" i="1"/>
  <c r="E281" i="1"/>
  <c r="E168" i="1"/>
  <c r="E13" i="1"/>
  <c r="E24" i="1"/>
  <c r="E342" i="1"/>
  <c r="E29" i="1"/>
  <c r="E328" i="1"/>
  <c r="E115" i="1"/>
  <c r="E307" i="1"/>
  <c r="E142" i="1"/>
  <c r="E64" i="1"/>
  <c r="E301" i="1"/>
  <c r="E324" i="1"/>
  <c r="E329" i="1"/>
  <c r="E253" i="1"/>
  <c r="E352" i="1"/>
  <c r="E348" i="1"/>
  <c r="E91" i="1"/>
  <c r="E100" i="1"/>
  <c r="E361" i="1"/>
  <c r="E206" i="1"/>
  <c r="E92" i="1"/>
  <c r="E336" i="1"/>
  <c r="E341" i="1"/>
  <c r="E283" i="1"/>
  <c r="E151" i="1"/>
  <c r="E274" i="1"/>
  <c r="E162" i="1"/>
  <c r="E251" i="1"/>
  <c r="E323" i="1"/>
  <c r="E343" i="1"/>
  <c r="E351" i="1"/>
  <c r="E359" i="1"/>
  <c r="E202" i="1"/>
  <c r="E295" i="1"/>
  <c r="E254" i="1"/>
  <c r="E47" i="1"/>
  <c r="E248" i="1"/>
  <c r="E216" i="1"/>
  <c r="E194" i="1"/>
  <c r="E279" i="1"/>
  <c r="E272" i="1"/>
  <c r="E59" i="1"/>
  <c r="E66" i="1"/>
  <c r="E105" i="1"/>
  <c r="E44" i="1"/>
  <c r="E86" i="1"/>
  <c r="E243" i="1"/>
  <c r="E88" i="1"/>
  <c r="E218" i="1"/>
  <c r="E271" i="1"/>
  <c r="E120" i="1"/>
  <c r="E221" i="1"/>
  <c r="E278" i="1"/>
  <c r="E344" i="1"/>
  <c r="E133" i="1"/>
  <c r="E89" i="1"/>
  <c r="E101" i="1"/>
  <c r="E321" i="1"/>
  <c r="E169" i="1"/>
  <c r="E192" i="1"/>
  <c r="E60" i="1"/>
  <c r="E245" i="1"/>
  <c r="E357" i="1"/>
  <c r="E337" i="1"/>
  <c r="E111" i="1"/>
  <c r="E316" i="1"/>
  <c r="E179" i="1"/>
  <c r="E145" i="1"/>
  <c r="E28" i="1"/>
  <c r="E303" i="1"/>
  <c r="E318" i="1"/>
  <c r="E240" i="1"/>
  <c r="E229" i="1"/>
  <c r="E282" i="1"/>
  <c r="E104" i="1"/>
  <c r="E310" i="1"/>
  <c r="E99" i="1"/>
  <c r="E289" i="1"/>
  <c r="E362" i="1"/>
  <c r="E171" i="1"/>
  <c r="E349" i="1"/>
  <c r="E225" i="1"/>
  <c r="E244" i="1"/>
  <c r="E50" i="1"/>
  <c r="E230" i="1"/>
  <c r="E249" i="1"/>
  <c r="E125" i="1"/>
  <c r="E358" i="1"/>
  <c r="E256" i="1"/>
  <c r="E141" i="1"/>
  <c r="E217" i="1"/>
  <c r="E43" i="1"/>
  <c r="E304" i="1"/>
  <c r="E294" i="1"/>
  <c r="E152" i="1"/>
  <c r="E315" i="1"/>
  <c r="E350" i="1"/>
  <c r="E73" i="1"/>
  <c r="E36" i="1"/>
  <c r="E161" i="1"/>
  <c r="E35" i="1"/>
  <c r="E95" i="1"/>
  <c r="E87" i="1"/>
  <c r="E208" i="1"/>
  <c r="E135" i="1"/>
  <c r="E296" i="1"/>
  <c r="E126" i="1"/>
  <c r="E183" i="1"/>
  <c r="E261" i="1"/>
  <c r="E215" i="1"/>
  <c r="E90" i="1"/>
  <c r="E110" i="1"/>
  <c r="E106" i="1"/>
  <c r="E109" i="1"/>
  <c r="J32" i="1" l="1"/>
  <c r="D153" i="1"/>
  <c r="D175" i="1"/>
  <c r="D284" i="1"/>
  <c r="D366" i="1"/>
  <c r="D100" i="1"/>
  <c r="D76" i="1"/>
  <c r="D275" i="1"/>
  <c r="D354" i="1"/>
  <c r="D297" i="1"/>
  <c r="D61" i="1"/>
  <c r="D228" i="1"/>
  <c r="D124" i="1"/>
  <c r="D235" i="1"/>
  <c r="D250" i="1"/>
  <c r="D292" i="1"/>
  <c r="D288" i="1"/>
  <c r="D83" i="1"/>
  <c r="D79" i="1"/>
  <c r="D29" i="1"/>
  <c r="D205" i="1"/>
  <c r="D177" i="1"/>
  <c r="D92" i="1"/>
  <c r="D224" i="1"/>
  <c r="D259" i="1"/>
  <c r="D88" i="1"/>
  <c r="D227" i="1"/>
  <c r="D44" i="1"/>
  <c r="D248" i="1"/>
  <c r="D21" i="1"/>
  <c r="D55" i="1"/>
  <c r="D258" i="1"/>
  <c r="D242" i="1"/>
  <c r="D311" i="1"/>
  <c r="D105" i="1"/>
  <c r="D31" i="1"/>
  <c r="D51" i="1"/>
  <c r="D74" i="1"/>
  <c r="D30" i="1"/>
  <c r="D204" i="1"/>
  <c r="D196" i="1"/>
  <c r="D154" i="1"/>
  <c r="D347" i="1"/>
  <c r="D363" i="1"/>
  <c r="D169" i="1"/>
  <c r="D254" i="1"/>
  <c r="D352" i="1"/>
  <c r="D232" i="1"/>
  <c r="D134" i="1"/>
  <c r="D49" i="1"/>
  <c r="D355" i="1"/>
  <c r="D45" i="1"/>
  <c r="D133" i="1"/>
  <c r="D176" i="1"/>
  <c r="D262" i="1"/>
  <c r="D192" i="1"/>
  <c r="D181" i="1"/>
  <c r="D130" i="1"/>
  <c r="D267" i="1"/>
  <c r="D271" i="1"/>
  <c r="D269" i="1"/>
  <c r="D132" i="1"/>
  <c r="D180" i="1"/>
  <c r="D198" i="1"/>
  <c r="D334" i="1"/>
  <c r="D37" i="1"/>
  <c r="D69" i="1"/>
  <c r="D233" i="1"/>
  <c r="D281" i="1"/>
  <c r="D274" i="1"/>
  <c r="D38" i="1"/>
  <c r="D142" i="1"/>
  <c r="D238" i="1"/>
  <c r="D94" i="1"/>
  <c r="D226" i="1"/>
  <c r="D263" i="1"/>
  <c r="D219" i="1"/>
  <c r="D68" i="1"/>
  <c r="D40" i="1"/>
  <c r="D317" i="1"/>
  <c r="D305" i="1"/>
  <c r="D109" i="1"/>
  <c r="D73" i="1"/>
  <c r="D249" i="1"/>
  <c r="D225" i="1"/>
  <c r="D330" i="1"/>
  <c r="D99" i="1"/>
  <c r="D28" i="1"/>
  <c r="D111" i="1"/>
  <c r="D245" i="1"/>
  <c r="D343" i="1"/>
  <c r="D64" i="1"/>
  <c r="D342" i="1"/>
  <c r="D285" i="1"/>
  <c r="D189" i="1"/>
  <c r="D182" i="1"/>
  <c r="D34" i="1"/>
  <c r="D185" i="1"/>
  <c r="D112" i="1"/>
  <c r="D260" i="1"/>
  <c r="D82" i="1"/>
  <c r="D22" i="1"/>
  <c r="D277" i="1"/>
  <c r="D357" i="1"/>
  <c r="D87" i="1"/>
  <c r="D362" i="1"/>
  <c r="D141" i="1"/>
  <c r="D316" i="1"/>
  <c r="D324" i="1"/>
  <c r="D331" i="1"/>
  <c r="D62" i="1"/>
  <c r="D321" i="1"/>
  <c r="D155" i="1"/>
  <c r="D135" i="1"/>
  <c r="D349" i="1"/>
  <c r="D120" i="1"/>
  <c r="D66" i="1"/>
  <c r="D351" i="1"/>
  <c r="D97" i="1"/>
  <c r="D208" i="1"/>
  <c r="D315" i="1"/>
  <c r="D310" i="1"/>
  <c r="D236" i="1"/>
  <c r="D10" i="1"/>
  <c r="D265" i="1"/>
  <c r="D306" i="1"/>
  <c r="D209" i="1"/>
  <c r="D312" i="1"/>
  <c r="D214" i="1"/>
  <c r="D231" i="1"/>
  <c r="D158" i="1"/>
  <c r="D356" i="1"/>
  <c r="D98" i="1"/>
  <c r="D300" i="1"/>
  <c r="D42" i="1"/>
  <c r="D188" i="1"/>
  <c r="D304" i="1"/>
  <c r="D229" i="1"/>
  <c r="D257" i="1"/>
  <c r="D157" i="1"/>
  <c r="D113" i="1"/>
  <c r="D80" i="1"/>
  <c r="D146" i="1"/>
  <c r="D52" i="1"/>
  <c r="D17" i="1"/>
  <c r="D322" i="1"/>
  <c r="D148" i="1"/>
  <c r="D67" i="1"/>
  <c r="D212" i="1"/>
  <c r="D314" i="1"/>
  <c r="D93" i="1"/>
  <c r="D110" i="1"/>
  <c r="D183" i="1"/>
  <c r="D161" i="1"/>
  <c r="D43" i="1"/>
  <c r="D50" i="1"/>
  <c r="D344" i="1"/>
  <c r="D336" i="1"/>
  <c r="D159" i="1"/>
  <c r="D108" i="1"/>
  <c r="D53" i="1"/>
  <c r="D364" i="1"/>
  <c r="D178" i="1"/>
  <c r="D360" i="1"/>
  <c r="D72" i="1"/>
  <c r="D102" i="1"/>
  <c r="D339" i="1"/>
  <c r="D143" i="1"/>
  <c r="D345" i="1"/>
  <c r="D184" i="1"/>
  <c r="D319" i="1"/>
  <c r="D144" i="1"/>
  <c r="D85" i="1"/>
  <c r="D264" i="1"/>
  <c r="D234" i="1"/>
  <c r="D131" i="1"/>
  <c r="D15" i="1"/>
  <c r="D81" i="1"/>
  <c r="D174" i="1"/>
  <c r="D58" i="1"/>
  <c r="D56" i="1"/>
  <c r="D12" i="1"/>
  <c r="D332" i="1"/>
  <c r="D90" i="1"/>
  <c r="D126" i="1"/>
  <c r="D36" i="1"/>
  <c r="D217" i="1"/>
  <c r="D125" i="1"/>
  <c r="D104" i="1"/>
  <c r="D60" i="1"/>
  <c r="D278" i="1"/>
  <c r="D218" i="1"/>
  <c r="D272" i="1"/>
  <c r="D202" i="1"/>
  <c r="D151" i="1"/>
  <c r="D91" i="1"/>
  <c r="D24" i="1"/>
  <c r="D78" i="1"/>
  <c r="D207" i="1"/>
  <c r="D266" i="1"/>
  <c r="D165" i="1"/>
  <c r="D273" i="1"/>
  <c r="D123" i="1"/>
  <c r="D116" i="1"/>
  <c r="D286" i="1"/>
  <c r="D149" i="1"/>
  <c r="D54" i="1"/>
  <c r="D353" i="1"/>
  <c r="D335" i="1"/>
  <c r="D325" i="1"/>
  <c r="D18" i="1"/>
  <c r="D19" i="1"/>
  <c r="D39" i="1"/>
  <c r="D200" i="1"/>
  <c r="D170" i="1"/>
  <c r="D223" i="1"/>
  <c r="D280" i="1"/>
  <c r="D261" i="1"/>
  <c r="D35" i="1"/>
  <c r="D256" i="1"/>
  <c r="D341" i="1"/>
  <c r="D361" i="1"/>
  <c r="D168" i="1"/>
  <c r="D213" i="1"/>
  <c r="D333" i="1"/>
  <c r="D187" i="1"/>
  <c r="D291" i="1"/>
  <c r="D119" i="1"/>
  <c r="D140" i="1"/>
  <c r="D367" i="1"/>
  <c r="D199" i="1"/>
  <c r="D26" i="1"/>
  <c r="D147" i="1"/>
  <c r="D197" i="1"/>
  <c r="D290" i="1"/>
  <c r="D216" i="1"/>
  <c r="D328" i="1"/>
  <c r="D20" i="1"/>
  <c r="D302" i="1"/>
  <c r="D255" i="1"/>
  <c r="D298" i="1"/>
  <c r="D318" i="1"/>
  <c r="D215" i="1"/>
  <c r="D294" i="1"/>
  <c r="D282" i="1"/>
  <c r="D303" i="1"/>
  <c r="D279" i="1"/>
  <c r="D206" i="1"/>
  <c r="D307" i="1"/>
  <c r="D241" i="1"/>
  <c r="D84" i="1"/>
  <c r="D195" i="1"/>
  <c r="D65" i="1"/>
  <c r="D313" i="1"/>
  <c r="D16" i="1"/>
  <c r="D114" i="1"/>
  <c r="D337" i="1"/>
  <c r="D348" i="1"/>
  <c r="D13" i="1"/>
  <c r="D365" i="1"/>
  <c r="D167" i="1"/>
  <c r="D162" i="1"/>
  <c r="D301" i="1"/>
  <c r="D115" i="1"/>
  <c r="D11" i="1"/>
  <c r="D244" i="1"/>
  <c r="D179" i="1"/>
  <c r="D59" i="1"/>
  <c r="D296" i="1"/>
  <c r="D95" i="1"/>
  <c r="D289" i="1"/>
  <c r="D243" i="1"/>
  <c r="D194" i="1"/>
  <c r="D48" i="1"/>
  <c r="D118" i="1"/>
  <c r="D326" i="1"/>
  <c r="D41" i="1"/>
  <c r="D127" i="1"/>
  <c r="D23" i="1"/>
  <c r="D128" i="1"/>
  <c r="D117" i="1"/>
  <c r="D25" i="1"/>
  <c r="D203" i="1"/>
  <c r="D191" i="1"/>
  <c r="D137" i="1"/>
  <c r="D9" i="1"/>
  <c r="D33" i="1"/>
  <c r="D101" i="1"/>
  <c r="D329" i="1"/>
  <c r="D346" i="1"/>
  <c r="D270" i="1"/>
  <c r="D75" i="1"/>
  <c r="D211" i="1"/>
  <c r="D160" i="1"/>
  <c r="D190" i="1"/>
  <c r="D247" i="1"/>
  <c r="D186" i="1"/>
  <c r="D220" i="1"/>
  <c r="D106" i="1"/>
  <c r="D350" i="1"/>
  <c r="D230" i="1"/>
  <c r="D358" i="1"/>
  <c r="D171" i="1"/>
  <c r="D240" i="1"/>
  <c r="D145" i="1"/>
  <c r="D89" i="1"/>
  <c r="D221" i="1"/>
  <c r="D47" i="1"/>
  <c r="D359" i="1"/>
  <c r="D251" i="1"/>
  <c r="D283" i="1"/>
  <c r="D320" i="1"/>
  <c r="D309" i="1"/>
  <c r="D163" i="1"/>
  <c r="D210" i="1"/>
  <c r="D57" i="1"/>
  <c r="D252" i="1"/>
  <c r="D63" i="1"/>
  <c r="D268" i="1"/>
  <c r="D201" i="1"/>
  <c r="D136" i="1"/>
  <c r="D96" i="1"/>
  <c r="D129" i="1"/>
  <c r="D293" i="1"/>
  <c r="D193" i="1"/>
  <c r="D103" i="1"/>
  <c r="D327" i="1"/>
  <c r="D237" i="1"/>
  <c r="D156" i="1"/>
  <c r="D222" i="1"/>
  <c r="D138" i="1"/>
  <c r="D166" i="1"/>
  <c r="D107" i="1"/>
  <c r="D299" i="1"/>
  <c r="D122" i="1"/>
  <c r="D246" i="1"/>
  <c r="D71" i="1"/>
  <c r="D323" i="1"/>
  <c r="D46" i="1"/>
  <c r="D164" i="1"/>
  <c r="D150" i="1"/>
  <c r="D172" i="1"/>
  <c r="D121" i="1"/>
  <c r="D308" i="1"/>
  <c r="D173" i="1"/>
  <c r="D338" i="1"/>
  <c r="D77" i="1"/>
  <c r="C8" i="1"/>
  <c r="C10" i="1" s="1"/>
  <c r="C9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D139" i="1"/>
  <c r="D276" i="1"/>
  <c r="D70" i="1"/>
  <c r="D287" i="1"/>
  <c r="D27" i="1"/>
  <c r="D14" i="1"/>
  <c r="D152" i="1"/>
  <c r="D86" i="1"/>
  <c r="D295" i="1"/>
  <c r="D253" i="1"/>
  <c r="D340" i="1"/>
  <c r="D239" i="1"/>
  <c r="C32" i="1" l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G26" i="6" l="1"/>
  <c r="J26" i="6" s="1"/>
  <c r="K26" i="6" s="1"/>
  <c r="B25" i="6" l="1"/>
  <c r="K25" i="6" s="1"/>
  <c r="B27" i="7" l="1"/>
  <c r="K26" i="7"/>
  <c r="C27" i="7" l="1"/>
  <c r="E27" i="7" s="1"/>
  <c r="B26" i="7"/>
  <c r="L26" i="7" s="1"/>
  <c r="M27" i="7" l="1"/>
  <c r="N27" i="7" s="1"/>
  <c r="H27" i="7"/>
  <c r="I27" i="7"/>
  <c r="G27" i="7"/>
  <c r="N26" i="7"/>
  <c r="O26" i="7"/>
  <c r="P26" i="7" s="1"/>
  <c r="K27" i="7" l="1"/>
  <c r="L27" i="7" s="1"/>
  <c r="O27" i="7" l="1"/>
  <c r="P27" i="7" s="1"/>
  <c r="H27" i="6" l="1"/>
  <c r="B27" i="6"/>
  <c r="J27" i="6"/>
  <c r="K27" i="6" l="1"/>
</calcChain>
</file>

<file path=xl/comments1.xml><?xml version="1.0" encoding="utf-8"?>
<comments xmlns="http://schemas.openxmlformats.org/spreadsheetml/2006/main">
  <authors>
    <author>Фомин Александр Сергеевич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Жирным шрифтом - коммерция</t>
        </r>
      </text>
    </comment>
  </commentList>
</comments>
</file>

<file path=xl/comments2.xml><?xml version="1.0" encoding="utf-8"?>
<comments xmlns="http://schemas.openxmlformats.org/spreadsheetml/2006/main">
  <authors>
    <author>Фомин Александр Сергеевич</author>
  </authors>
  <commentList>
    <comment ref="P1" authorId="0" shapeId="0">
      <text>
        <r>
          <rPr>
            <b/>
            <sz val="9"/>
            <color indexed="81"/>
            <rFont val="Tahoma"/>
            <family val="2"/>
            <charset val="204"/>
          </rPr>
          <t>ФЗ 0,99 / ФЗ 0,5
Дельта по ставке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КОМБО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  <charset val="204"/>
          </rPr>
          <t>СС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КОМПЕНСАЦИЯ %%</t>
        </r>
      </text>
    </comment>
  </commentList>
</comments>
</file>

<file path=xl/comments3.xml><?xml version="1.0" encoding="utf-8"?>
<comments xmlns="http://schemas.openxmlformats.org/spreadsheetml/2006/main">
  <authors>
    <author>Фомин Александр Сергеевич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15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 15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15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 15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15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 15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20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15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04"/>
          </rPr>
          <t>КОМИССИЯ СУБСИДИРОВАНИЯ ПРИ ПВ  15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04"/>
          </rPr>
          <t>ОГРАНИЧЕННЫЙ СРОК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Размер компенсации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Размер дисконта</t>
        </r>
      </text>
    </comment>
    <comment ref="E70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Размер дисконта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Размер компенсации</t>
        </r>
      </text>
    </comment>
    <comment ref="E101" authorId="0" shapeId="0">
      <text>
        <r>
          <rPr>
            <b/>
            <sz val="9"/>
            <color indexed="81"/>
            <rFont val="Tahoma"/>
            <family val="2"/>
            <charset val="204"/>
          </rPr>
          <t>Размер дисконта</t>
        </r>
      </text>
    </comment>
  </commentList>
</comments>
</file>

<file path=xl/comments4.xml><?xml version="1.0" encoding="utf-8"?>
<comments xmlns="http://schemas.openxmlformats.org/spreadsheetml/2006/main">
  <authors>
    <author>Фомин Александр Сергеевич</author>
    <author>Егоров Дмитрий Александрович</author>
  </authors>
  <commentList>
    <comment ref="L25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справочно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справочно</t>
        </r>
      </text>
    </comment>
    <comment ref="A26" authorId="1" shapeId="0">
      <text>
        <r>
          <rPr>
            <sz val="9"/>
            <color indexed="81"/>
            <rFont val="Tahoma"/>
            <family val="2"/>
            <charset val="204"/>
          </rPr>
          <t xml:space="preserve">Неприменимо при минимальном ПВ
</t>
        </r>
      </text>
    </comment>
  </commentList>
</comments>
</file>

<file path=xl/comments5.xml><?xml version="1.0" encoding="utf-8"?>
<comments xmlns="http://schemas.openxmlformats.org/spreadsheetml/2006/main">
  <authors>
    <author>Фомин Александр Сергеевич</author>
    <author>Егоров Дмитрий Александрович</author>
  </authors>
  <commentList>
    <comment ref="K24" authorId="0" shapeId="0">
      <text>
        <r>
          <rPr>
            <b/>
            <sz val="9"/>
            <color indexed="81"/>
            <rFont val="Tahoma"/>
            <family val="2"/>
            <charset val="204"/>
          </rPr>
          <t>справочно</t>
        </r>
      </text>
    </comment>
    <comment ref="A25" authorId="1" shapeId="0">
      <text>
        <r>
          <rPr>
            <sz val="9"/>
            <color indexed="81"/>
            <rFont val="Tahoma"/>
            <family val="2"/>
            <charset val="204"/>
          </rPr>
          <t>Неприменимо при минимальном ПВ</t>
        </r>
      </text>
    </comment>
  </commentList>
</comments>
</file>

<file path=xl/sharedStrings.xml><?xml version="1.0" encoding="utf-8"?>
<sst xmlns="http://schemas.openxmlformats.org/spreadsheetml/2006/main" count="920" uniqueCount="229">
  <si>
    <t>LTV (кредит / залог), %</t>
  </si>
  <si>
    <t>Базовая ставка</t>
  </si>
  <si>
    <t>Срок кредита, лет</t>
  </si>
  <si>
    <t>без отсрочки</t>
  </si>
  <si>
    <t>полный срок</t>
  </si>
  <si>
    <t>Новостройка</t>
  </si>
  <si>
    <t>Новостройка с господдержкой 2020</t>
  </si>
  <si>
    <t>СС комиссия</t>
  </si>
  <si>
    <t>СС скидка</t>
  </si>
  <si>
    <t>Тип залога</t>
  </si>
  <si>
    <t>Семейная ипотека</t>
  </si>
  <si>
    <t>Программа кредитования</t>
  </si>
  <si>
    <t>Сумма кредита, руб</t>
  </si>
  <si>
    <t>Стоимость объекта, руб</t>
  </si>
  <si>
    <t>Квартира</t>
  </si>
  <si>
    <t>%</t>
  </si>
  <si>
    <t>Квартира/апартаменты LTV90</t>
  </si>
  <si>
    <t>Квартира/апартаменты LTV80</t>
  </si>
  <si>
    <t>Госпрограмма 2020</t>
  </si>
  <si>
    <t>Детская ипотека</t>
  </si>
  <si>
    <t>Дисконт Халва</t>
  </si>
  <si>
    <t>ОСЗ</t>
  </si>
  <si>
    <t>Вторичка</t>
  </si>
  <si>
    <t>Рефинансирование</t>
  </si>
  <si>
    <t>Апартаменты</t>
  </si>
  <si>
    <t>Программа</t>
  </si>
  <si>
    <t>Залог</t>
  </si>
  <si>
    <t>LTV верх</t>
  </si>
  <si>
    <t>LTV низ</t>
  </si>
  <si>
    <t>ИП</t>
  </si>
  <si>
    <t>Коммерция</t>
  </si>
  <si>
    <t>программа</t>
  </si>
  <si>
    <t>ИП / Собственник бизнеса</t>
  </si>
  <si>
    <t>Процентная ставка</t>
  </si>
  <si>
    <t>Снижение ставки в кредит?</t>
  </si>
  <si>
    <t>Рефинансирование по Семейной ипотеке</t>
  </si>
  <si>
    <t>Детская ипотека_Рефинансирование</t>
  </si>
  <si>
    <t>Макс ДЛТВ по программе</t>
  </si>
  <si>
    <t>Ипотека для IT-специалистов</t>
  </si>
  <si>
    <t>IT-ипотека</t>
  </si>
  <si>
    <t>Макс.сумма кредита</t>
  </si>
  <si>
    <t>Срок кредита, мес</t>
  </si>
  <si>
    <t>Мин сумма</t>
  </si>
  <si>
    <t>Мин срок</t>
  </si>
  <si>
    <t>Срок субсидирования, мес</t>
  </si>
  <si>
    <t>Срок отсрочки выплаты, мес</t>
  </si>
  <si>
    <t>Субсидия от застройщика, % от суммы кредита</t>
  </si>
  <si>
    <t>Скидка к ставке за счет субсидирования, %</t>
  </si>
  <si>
    <t>без удорожания</t>
  </si>
  <si>
    <t>ПВ, руб</t>
  </si>
  <si>
    <t>Первоначальный взнос, %</t>
  </si>
  <si>
    <t>Комиссия, % от стоимости объекта</t>
  </si>
  <si>
    <t>Отключить акцию "Выгодная ипотека с Халвой"</t>
  </si>
  <si>
    <t>Комбо</t>
  </si>
  <si>
    <t>Регион</t>
  </si>
  <si>
    <t>Комиссия, % от субсидируемой суммы</t>
  </si>
  <si>
    <t>без субсидии</t>
  </si>
  <si>
    <t>Субсидирование</t>
  </si>
  <si>
    <t>Итого комиссия Комбо + субсидирование, % от суммы кредита</t>
  </si>
  <si>
    <t>с удорожанием и сохранением ПВ в руб</t>
  </si>
  <si>
    <t>с удорожанием и сохранением ПВ в %</t>
  </si>
  <si>
    <t>Дальневосточная ипотека</t>
  </si>
  <si>
    <t>Семейная ипотека ДФО</t>
  </si>
  <si>
    <t>Надбавка ИП</t>
  </si>
  <si>
    <t>Дисконт Летняя</t>
  </si>
  <si>
    <t>Коммерция LTV60</t>
  </si>
  <si>
    <t>с сохранением ПВ в %</t>
  </si>
  <si>
    <t>ИТ ипотека</t>
  </si>
  <si>
    <t>Корректировка на ТОП партнеров Х+З</t>
  </si>
  <si>
    <t>на срок, мес</t>
  </si>
  <si>
    <t>Надбавка за пониженный ФЗ</t>
  </si>
  <si>
    <t>Дом с земельным участком</t>
  </si>
  <si>
    <t>Дом с ЗУ LTV60</t>
  </si>
  <si>
    <t>Коммерция LTV70</t>
  </si>
  <si>
    <t>Калькулятор процентной ставки</t>
  </si>
  <si>
    <t>Опция "Снижение тарифа по ФЗ"</t>
  </si>
  <si>
    <t>Ставка</t>
  </si>
  <si>
    <t>Крупный чек</t>
  </si>
  <si>
    <t>Без процентов</t>
  </si>
  <si>
    <t>№</t>
  </si>
  <si>
    <t>Калькулятор</t>
  </si>
  <si>
    <t>Базовый</t>
  </si>
  <si>
    <t>Повышенное КВ</t>
  </si>
  <si>
    <t>Ипотека Центр</t>
  </si>
  <si>
    <t>Описание</t>
  </si>
  <si>
    <t>1.</t>
  </si>
  <si>
    <t>2.</t>
  </si>
  <si>
    <t>перед созданием происходит копирование с листа "тарифы для заполнения" на лист "тарифы", на которой ссылаются все формулы в расчетах</t>
  </si>
  <si>
    <t>При добавлении калькулятора с новой логикой нужно:</t>
  </si>
  <si>
    <t>добавить его название на листы: вводные, тарифы, тарифы для заполнения</t>
  </si>
  <si>
    <t>Logics for developer</t>
  </si>
  <si>
    <t>3.</t>
  </si>
  <si>
    <t>4.</t>
  </si>
  <si>
    <t>По выбранному пути появится файл с выбранными листами, который можно использовать в работе.</t>
  </si>
  <si>
    <t>Надбавка компенсация %</t>
  </si>
  <si>
    <t>стандартные ставки</t>
  </si>
  <si>
    <t>Порядок работы с файлом:</t>
  </si>
  <si>
    <t>После открытия файла, перед началом работы убедиться, что в верхней части Excel нет предупреждения системы безопасности:</t>
  </si>
  <si>
    <t>Если оно есть – то нажать кнопку «включить содержимое», и, если появится предупреждение, то «разрешить редактирование»</t>
  </si>
  <si>
    <t>Сохранить этот файл на компьютер или в сетевую папку (из почты не запускать)</t>
  </si>
  <si>
    <t>5.</t>
  </si>
  <si>
    <t>6.</t>
  </si>
  <si>
    <t>7.</t>
  </si>
  <si>
    <t>Этот файл - это конструктор для создания калькулятора под партнера</t>
  </si>
  <si>
    <t>Вы можете сформировать калькулятор с нужным для партнера набором листов</t>
  </si>
  <si>
    <r>
      <rPr>
        <b/>
        <sz val="11"/>
        <color rgb="FFC00000"/>
        <rFont val="Calibri"/>
        <family val="2"/>
        <charset val="204"/>
        <scheme val="minor"/>
      </rPr>
      <t xml:space="preserve">(!) </t>
    </r>
    <r>
      <rPr>
        <sz val="11"/>
        <color theme="1"/>
        <rFont val="Calibri"/>
        <family val="2"/>
        <charset val="204"/>
        <scheme val="minor"/>
      </rPr>
      <t>Если обычный калькулятор, выложенный в задаче, устраивает партнера, этот файл вам не нужен</t>
    </r>
  </si>
  <si>
    <r>
      <t xml:space="preserve">На листе </t>
    </r>
    <r>
      <rPr>
        <b/>
        <sz val="11"/>
        <color theme="1"/>
        <rFont val="Calibri"/>
        <family val="2"/>
        <charset val="204"/>
        <scheme val="minor"/>
      </rPr>
      <t>«вводные»</t>
    </r>
    <r>
      <rPr>
        <sz val="11"/>
        <color theme="1"/>
        <rFont val="Calibri"/>
        <family val="2"/>
        <charset val="204"/>
        <scheme val="minor"/>
      </rPr>
      <t xml:space="preserve">  нажать </t>
    </r>
    <r>
      <rPr>
        <b/>
        <sz val="11"/>
        <color theme="1"/>
        <rFont val="Calibri"/>
        <family val="2"/>
        <charset val="204"/>
        <scheme val="minor"/>
      </rPr>
      <t>«Сформировать калькулятор»</t>
    </r>
  </si>
  <si>
    <r>
      <t xml:space="preserve">В первом появившемся окне выбрать тип калькулятора и те листы, которые требуются для расчетов и нажать </t>
    </r>
    <r>
      <rPr>
        <b/>
        <sz val="11"/>
        <color theme="1"/>
        <rFont val="Calibri"/>
        <family val="2"/>
        <charset val="204"/>
        <scheme val="minor"/>
      </rPr>
      <t>«Сформировать»</t>
    </r>
  </si>
  <si>
    <r>
      <t xml:space="preserve">После этого появится второе окно с выбором папки, куда будет сохранен итоговый файл-калькулятор. Выбираем в нем папку и нажимаем </t>
    </r>
    <r>
      <rPr>
        <b/>
        <sz val="11"/>
        <color theme="1"/>
        <rFont val="Calibri"/>
        <family val="2"/>
        <charset val="204"/>
        <scheme val="minor"/>
      </rPr>
      <t>«ОК»</t>
    </r>
  </si>
  <si>
    <t>sovcombank.ru ©</t>
  </si>
  <si>
    <t>Полный срок:</t>
  </si>
  <si>
    <t>Господдержка:</t>
  </si>
  <si>
    <t>Дисконт:</t>
  </si>
  <si>
    <t>Ставка:</t>
  </si>
  <si>
    <t>Мск</t>
  </si>
  <si>
    <t>Дисконт по Халве:</t>
  </si>
  <si>
    <t>ПВ 20</t>
  </si>
  <si>
    <t>ПВ 15</t>
  </si>
  <si>
    <t>Введите вручную</t>
  </si>
  <si>
    <t>другие регионы</t>
  </si>
  <si>
    <t>Госка:</t>
  </si>
  <si>
    <t>Скидка к ставке за счет субс</t>
  </si>
  <si>
    <t>СУБСИДИРОВАНИЕ ПОЛНЫЙ СРОК</t>
  </si>
  <si>
    <t>СУБСИДИРОВАНИЕ ОГРАНИЧЕННЫЙ СРОК</t>
  </si>
  <si>
    <t>ПВ20</t>
  </si>
  <si>
    <t>ПВ15</t>
  </si>
  <si>
    <t>ДКПЗН</t>
  </si>
  <si>
    <t>ДКПЗН СС</t>
  </si>
  <si>
    <t>ДКПЗН комиссия</t>
  </si>
  <si>
    <t>ДКПЗН скидка</t>
  </si>
  <si>
    <t>ставка с надбавкой для партнеров + 0,45</t>
  </si>
  <si>
    <t>ставка с надбавкой для партнеров + 0,8</t>
  </si>
  <si>
    <t>строка начала</t>
  </si>
  <si>
    <t>Первоначальный взнос, руб</t>
  </si>
  <si>
    <t>Дисконт по субс:</t>
  </si>
  <si>
    <t>Основные параметры</t>
  </si>
  <si>
    <t>Дополнительные параметры</t>
  </si>
  <si>
    <t>Услуга "Снижение ставки" в кредит</t>
  </si>
  <si>
    <t>Услуга "Снижение ставки"</t>
  </si>
  <si>
    <t>Диск. МегаХалва</t>
  </si>
  <si>
    <t>Ежемесячный</t>
  </si>
  <si>
    <t>платеж</t>
  </si>
  <si>
    <t>Погашение</t>
  </si>
  <si>
    <t>ОД</t>
  </si>
  <si>
    <t>Тарифы ФЗ</t>
  </si>
  <si>
    <t>Надбавка к ставке за ФЗ</t>
  </si>
  <si>
    <t>Тариф ФЗ, %</t>
  </si>
  <si>
    <t>Субсид:</t>
  </si>
  <si>
    <t>Комиссия, %</t>
  </si>
  <si>
    <t>Комиссия, руб</t>
  </si>
  <si>
    <t>Ежемесячный платеж, руб</t>
  </si>
  <si>
    <t>Экономия клиента, руб</t>
  </si>
  <si>
    <t>Комиссия с клиента, % от суммы кредита</t>
  </si>
  <si>
    <t>Дисконт к ставке, %</t>
  </si>
  <si>
    <t>Сумма комиссии с клиента, руб.</t>
  </si>
  <si>
    <t>Экономия для клиента, руб.</t>
  </si>
  <si>
    <t>Снижение ставки</t>
  </si>
  <si>
    <t>Субсидирование + КОМБО</t>
  </si>
  <si>
    <t>Процентная ставка, %</t>
  </si>
  <si>
    <t>Комиссия, руб.</t>
  </si>
  <si>
    <t>Ежемесячный платеж, руб.</t>
  </si>
  <si>
    <t>Экономия клиента, руб.</t>
  </si>
  <si>
    <t>Итоговая сумма кредита, руб.</t>
  </si>
  <si>
    <t>Переплата, руб.</t>
  </si>
  <si>
    <t>Сумма без субсидии, руб.</t>
  </si>
  <si>
    <t>Субсидируемая сумма, руб.</t>
  </si>
  <si>
    <t>Итого комиссия Комбо + субсидирование, руб.</t>
  </si>
  <si>
    <t>Сумма кредита на объект, руб.</t>
  </si>
  <si>
    <t>Ставка, %</t>
  </si>
  <si>
    <t>Базовая ставка, %</t>
  </si>
  <si>
    <t>Базовая ставка для указания вручную, %</t>
  </si>
  <si>
    <t>Крупный чек (от 8 млн Мск/МО,4 млн СПБ/ЛО, 3 млн проч.)</t>
  </si>
  <si>
    <t>Огр строка</t>
  </si>
  <si>
    <t>Для отсрочки</t>
  </si>
  <si>
    <t>рын_без отсрочки_ПВ20</t>
  </si>
  <si>
    <t>рын_6_ПВ20</t>
  </si>
  <si>
    <t>рын_12_ПВ20</t>
  </si>
  <si>
    <t>рын_18_ПВ20</t>
  </si>
  <si>
    <t>рын_24_ПВ20</t>
  </si>
  <si>
    <t>рын_без отсрочки_ПВ15</t>
  </si>
  <si>
    <t>рын_6_ПВ15</t>
  </si>
  <si>
    <t>рын_12_ПВ15</t>
  </si>
  <si>
    <t>рын_18_ПВ15</t>
  </si>
  <si>
    <t>рын_24_ПВ15</t>
  </si>
  <si>
    <t>Полный строка диск</t>
  </si>
  <si>
    <t>Полный столбец начала диск</t>
  </si>
  <si>
    <t>Полный кол-во знач. диск</t>
  </si>
  <si>
    <t>Полный строка КВ</t>
  </si>
  <si>
    <t>Госка с дисконтом по Халве</t>
  </si>
  <si>
    <t>Дисконт по субс</t>
  </si>
  <si>
    <t>Столбец</t>
  </si>
  <si>
    <t>Строка</t>
  </si>
  <si>
    <t>ПВ</t>
  </si>
  <si>
    <t>Листы для скрытия</t>
  </si>
  <si>
    <t>тарифы</t>
  </si>
  <si>
    <t>данные</t>
  </si>
  <si>
    <t>Новостройкаполный срок</t>
  </si>
  <si>
    <t>Услуга "Компенсация процентов"</t>
  </si>
  <si>
    <t>Семейная ипотекаполный срок</t>
  </si>
  <si>
    <t>Тип договора</t>
  </si>
  <si>
    <t>ДКП</t>
  </si>
  <si>
    <t>платежа</t>
  </si>
  <si>
    <t>МСК</t>
  </si>
  <si>
    <t>Детская</t>
  </si>
  <si>
    <t>ИТ</t>
  </si>
  <si>
    <t>Сумма по комбо итого</t>
  </si>
  <si>
    <t>Компенсация:</t>
  </si>
  <si>
    <t>другие 
регионы</t>
  </si>
  <si>
    <t>строка со ставкой</t>
  </si>
  <si>
    <t>строка со ставкой и залогом (отступ)</t>
  </si>
  <si>
    <t>строка ИП (отступ)</t>
  </si>
  <si>
    <t>кол-во строк</t>
  </si>
  <si>
    <t>max LTV</t>
  </si>
  <si>
    <t>мин сумма</t>
  </si>
  <si>
    <t>MAX СУММА ПО КОМБО</t>
  </si>
  <si>
    <t>MIN СУММА</t>
  </si>
  <si>
    <t>MAX СУММА</t>
  </si>
  <si>
    <t>MAX сумма итого</t>
  </si>
  <si>
    <t>MIN сумма итого</t>
  </si>
  <si>
    <t>Дом с ЗУ LTV70</t>
  </si>
  <si>
    <t>Субсидирование от застройщика</t>
  </si>
  <si>
    <t>min ПВ</t>
  </si>
  <si>
    <t>CC</t>
  </si>
  <si>
    <t>Халва</t>
  </si>
  <si>
    <r>
      <t xml:space="preserve">Все расчеты являются </t>
    </r>
    <r>
      <rPr>
        <b/>
        <u/>
        <sz val="12"/>
        <color rgb="FFFF4B5F"/>
        <rFont val="Calibri"/>
        <family val="2"/>
        <charset val="204"/>
        <scheme val="minor"/>
      </rPr>
      <t>предварительными</t>
    </r>
    <r>
      <rPr>
        <b/>
        <sz val="12"/>
        <color rgb="FF003791"/>
        <rFont val="Calibri"/>
        <family val="2"/>
        <charset val="204"/>
        <scheme val="minor"/>
      </rPr>
      <t xml:space="preserve"> и могут отличаться от фактических</t>
    </r>
  </si>
  <si>
    <t>Субсидирование+комбо</t>
  </si>
  <si>
    <t>Сумма кредита, %</t>
  </si>
  <si>
    <t>Для субсидирования</t>
  </si>
  <si>
    <t>Неиспользуется ЕСЛИОШИБКА(
     ЕСЛИ($C$6*(1-$C$8)&gt;
          O23;
          "  Мax сумма кредита " &amp; ТЕКСТ(O23;"# ##0") &amp; " руб.";
     ЕСЛИ($C$6*(1-$C$8)&lt;
          $O$24;
          "  Мin сумма кредита " &amp; ТЕКСТ($O$24;"# ##0")&amp; " руб.";""));
"Неверный тип залога")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</si>
</sst>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₽&quot;#,##0.00_);[Red]\(&quot;₽&quot;#,##0.00\)"/>
    <numFmt numFmtId="165" formatCode="_(* #,##0.00_);_(* \(#,##0.00\);_(* &quot;-&quot;??_);_(@_)"/>
    <numFmt numFmtId="166" formatCode="0.0"/>
    <numFmt numFmtId="167" formatCode="#,##0.00\ &quot;₽&quot;"/>
    <numFmt numFmtId="168" formatCode="0.0%"/>
    <numFmt numFmtId="169" formatCode="0.0000000000000%"/>
    <numFmt numFmtId="170" formatCode="0.000%"/>
  </numFmts>
  <fonts count="8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9"/>
      <color rgb="FFC00000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11"/>
      <color rgb="FFFC5055"/>
      <name val="Calibri"/>
      <family val="2"/>
      <charset val="204"/>
      <scheme val="minor"/>
    </font>
    <font>
      <b/>
      <sz val="9"/>
      <color rgb="FFFC5055"/>
      <name val="Verdana"/>
      <family val="2"/>
      <charset val="204"/>
    </font>
    <font>
      <b/>
      <sz val="8"/>
      <color rgb="FFFF5055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FC5055"/>
      <name val="Verdana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0"/>
      <name val="Verdana"/>
      <family val="2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rgb="FFFF0000"/>
      <name val="Calibri Light"/>
      <family val="2"/>
      <charset val="204"/>
      <scheme val="major"/>
    </font>
    <font>
      <sz val="9"/>
      <color indexed="81"/>
      <name val="Tahoma"/>
      <family val="2"/>
      <charset val="204"/>
    </font>
    <font>
      <sz val="11"/>
      <name val="Calibri Light"/>
      <family val="2"/>
      <charset val="204"/>
      <scheme val="major"/>
    </font>
    <font>
      <sz val="11"/>
      <name val="Calibri Light"/>
      <family val="1"/>
      <charset val="204"/>
      <scheme val="major"/>
    </font>
    <font>
      <sz val="11"/>
      <color theme="1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0"/>
      <name val="Calibri Light"/>
      <family val="1"/>
      <charset val="204"/>
      <scheme val="major"/>
    </font>
    <font>
      <sz val="11"/>
      <color rgb="FF000000"/>
      <name val="Calibri"/>
      <family val="2"/>
      <charset val="204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9"/>
      <color theme="0" tint="-0.3499862666707357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 Light"/>
      <family val="2"/>
      <charset val="204"/>
      <scheme val="major"/>
    </font>
    <font>
      <b/>
      <sz val="9"/>
      <color theme="0"/>
      <name val="Verdana"/>
      <family val="2"/>
      <charset val="204"/>
    </font>
    <font>
      <b/>
      <sz val="11"/>
      <color rgb="FFFF2525"/>
      <name val="Calibri"/>
      <family val="2"/>
      <charset val="204"/>
      <scheme val="minor"/>
    </font>
    <font>
      <sz val="9"/>
      <color theme="0" tint="-0.249977111117893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9"/>
      <color rgb="FFFF0000"/>
      <name val="Verdana"/>
      <family val="2"/>
      <charset val="204"/>
    </font>
    <font>
      <sz val="8"/>
      <color theme="1"/>
      <name val="Verdana"/>
      <family val="2"/>
      <charset val="204"/>
    </font>
    <font>
      <sz val="11"/>
      <color theme="0" tint="-0.249977111117893"/>
      <name val="Calibri"/>
      <family val="2"/>
      <charset val="204"/>
      <scheme val="minor"/>
    </font>
    <font>
      <sz val="9"/>
      <color rgb="FFFFB7BE"/>
      <name val="Verdana"/>
      <family val="2"/>
      <charset val="204"/>
    </font>
    <font>
      <sz val="9"/>
      <color rgb="FFFFB9BE"/>
      <name val="Verdana"/>
      <family val="2"/>
      <charset val="204"/>
    </font>
    <font>
      <b/>
      <sz val="11"/>
      <color rgb="FFFC5055"/>
      <name val="Verdana"/>
      <family val="2"/>
      <charset val="204"/>
    </font>
    <font>
      <b/>
      <sz val="9"/>
      <color theme="0" tint="-0.499984740745262"/>
      <name val="Verdana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b/>
      <sz val="10"/>
      <color rgb="FFFC5055"/>
      <name val="Verdana"/>
      <family val="2"/>
      <charset val="204"/>
    </font>
    <font>
      <b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 Light"/>
      <family val="2"/>
      <charset val="204"/>
      <scheme val="major"/>
    </font>
    <font>
      <b/>
      <sz val="11"/>
      <color theme="0" tint="-0.249977111117893"/>
      <name val="Calibri Light"/>
      <family val="2"/>
      <charset val="204"/>
      <scheme val="major"/>
    </font>
    <font>
      <b/>
      <sz val="8"/>
      <color theme="0"/>
      <name val="Verdana"/>
      <family val="2"/>
      <charset val="204"/>
    </font>
    <font>
      <b/>
      <sz val="9"/>
      <name val="Verdana"/>
      <family val="2"/>
      <charset val="204"/>
    </font>
    <font>
      <sz val="11"/>
      <color rgb="FFBFBFBF"/>
      <name val="Calibri"/>
      <family val="2"/>
      <charset val="204"/>
      <scheme val="minor"/>
    </font>
    <font>
      <b/>
      <sz val="12"/>
      <color rgb="FF003791"/>
      <name val="Calibri"/>
      <family val="2"/>
      <charset val="204"/>
      <scheme val="minor"/>
    </font>
    <font>
      <b/>
      <u/>
      <sz val="12"/>
      <color rgb="FFFF4B5F"/>
      <name val="Calibri"/>
      <family val="2"/>
      <charset val="204"/>
      <scheme val="minor"/>
    </font>
    <font>
      <sz val="8"/>
      <name val="Verdana"/>
      <family val="2"/>
      <charset val="204"/>
    </font>
    <font>
      <sz val="7"/>
      <name val="Verdana"/>
      <family val="2"/>
      <charset val="204"/>
    </font>
    <font>
      <sz val="7"/>
      <color theme="1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color rgb="FFFF0000"/>
      <name val="Verdana"/>
      <family val="2"/>
      <charset val="204"/>
    </font>
    <font>
      <sz val="11"/>
      <color theme="0"/>
      <name val="Verdana"/>
      <family val="2"/>
      <charset val="204"/>
    </font>
    <font>
      <sz val="11"/>
      <name val="Verdan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 tint="-0.14999847407452621"/>
      <name val="Calibri"/>
      <family val="2"/>
      <charset val="204"/>
      <scheme val="minor"/>
    </font>
    <font>
      <b/>
      <sz val="10"/>
      <color theme="0" tint="-0.34998626667073579"/>
      <name val="Calibri"/>
      <family val="2"/>
      <charset val="204"/>
      <scheme val="minor"/>
    </font>
    <font>
      <sz val="7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10"/>
      <color theme="0"/>
      <name val="Calibri"/>
      <family val="2"/>
      <charset val="204"/>
      <scheme val="minor"/>
    </font>
    <font>
      <i/>
      <sz val="9"/>
      <color theme="0"/>
      <name val="Verdana"/>
      <family val="2"/>
      <charset val="204"/>
    </font>
    <font>
      <b/>
      <i/>
      <sz val="8"/>
      <name val="Verdan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790"/>
        <bgColor indexed="64"/>
      </patternFill>
    </fill>
    <fill>
      <patternFill patternType="solid">
        <fgColor rgb="FFBBD7F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CAE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B7BE"/>
        <bgColor indexed="64"/>
      </patternFill>
    </fill>
    <fill>
      <patternFill patternType="solid">
        <fgColor rgb="FFFFB9BE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3791"/>
      </right>
      <top style="thin">
        <color rgb="FF003791"/>
      </top>
      <bottom style="thin">
        <color rgb="FF003791"/>
      </bottom>
      <diagonal/>
    </border>
    <border>
      <left style="thin">
        <color rgb="FF003791"/>
      </left>
      <right style="thin">
        <color rgb="FF003791"/>
      </right>
      <top style="thin">
        <color rgb="FF003791"/>
      </top>
      <bottom style="thin">
        <color rgb="FF003791"/>
      </bottom>
      <diagonal/>
    </border>
    <border>
      <left style="thin">
        <color rgb="FF003791"/>
      </left>
      <right/>
      <top style="thin">
        <color rgb="FF003791"/>
      </top>
      <bottom style="thin">
        <color rgb="FF003791"/>
      </bottom>
      <diagonal/>
    </border>
    <border>
      <left/>
      <right style="thin">
        <color rgb="FF003791"/>
      </right>
      <top/>
      <bottom style="thin">
        <color rgb="FF003791"/>
      </bottom>
      <diagonal/>
    </border>
    <border>
      <left style="thin">
        <color rgb="FF003791"/>
      </left>
      <right style="thin">
        <color rgb="FF003791"/>
      </right>
      <top/>
      <bottom style="thin">
        <color rgb="FF003791"/>
      </bottom>
      <diagonal/>
    </border>
    <border>
      <left style="thin">
        <color rgb="FF003791"/>
      </left>
      <right/>
      <top/>
      <bottom style="thin">
        <color rgb="FF00379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theme="0" tint="-0.499984740745262"/>
      </top>
      <bottom style="hair">
        <color auto="1"/>
      </bottom>
      <diagonal/>
    </border>
    <border>
      <left/>
      <right style="dotted">
        <color auto="1"/>
      </right>
      <top style="hair">
        <color theme="0" tint="-0.499984740745262"/>
      </top>
      <bottom style="hair">
        <color auto="1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dotted">
        <color auto="1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564">
    <xf numFmtId="0" fontId="0" fillId="0" borderId="0" xfId="0"/>
    <xf numFmtId="0" fontId="3" fillId="0" borderId="0" xfId="0" applyFont="1"/>
    <xf numFmtId="0" fontId="4" fillId="0" borderId="0" xfId="0" applyFont="1"/>
    <xf numFmtId="9" fontId="3" fillId="0" borderId="5" xfId="0" applyNumberFormat="1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3" fontId="3" fillId="0" borderId="18" xfId="0" applyNumberFormat="1" applyFont="1" applyBorder="1" applyAlignment="1" applyProtection="1">
      <alignment horizontal="center"/>
      <protection hidden="1"/>
    </xf>
    <xf numFmtId="3" fontId="13" fillId="0" borderId="18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2" fillId="0" borderId="18" xfId="2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Protection="1">
      <protection hidden="1"/>
    </xf>
    <xf numFmtId="10" fontId="0" fillId="0" borderId="0" xfId="1" applyNumberFormat="1" applyFont="1" applyProtection="1">
      <protection hidden="1"/>
    </xf>
    <xf numFmtId="0" fontId="16" fillId="0" borderId="0" xfId="0" applyFont="1" applyProtection="1">
      <protection hidden="1"/>
    </xf>
    <xf numFmtId="9" fontId="16" fillId="0" borderId="0" xfId="1" applyFont="1" applyProtection="1"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3" fontId="6" fillId="0" borderId="8" xfId="0" applyNumberFormat="1" applyFont="1" applyFill="1" applyBorder="1" applyAlignment="1" applyProtection="1">
      <alignment horizontal="center" vertical="center"/>
      <protection hidden="1"/>
    </xf>
    <xf numFmtId="3" fontId="3" fillId="0" borderId="18" xfId="0" applyNumberFormat="1" applyFont="1" applyBorder="1" applyAlignment="1" applyProtection="1">
      <alignment horizontal="center" vertical="center"/>
      <protection hidden="1"/>
    </xf>
    <xf numFmtId="10" fontId="13" fillId="0" borderId="18" xfId="0" applyNumberFormat="1" applyFont="1" applyBorder="1" applyAlignment="1" applyProtection="1">
      <alignment horizontal="center" vertical="center"/>
      <protection hidden="1"/>
    </xf>
    <xf numFmtId="3" fontId="3" fillId="0" borderId="18" xfId="0" applyNumberFormat="1" applyFont="1" applyBorder="1" applyAlignment="1" applyProtection="1">
      <alignment horizontal="center" vertical="center" wrapText="1"/>
      <protection hidden="1"/>
    </xf>
    <xf numFmtId="10" fontId="13" fillId="0" borderId="18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14" fillId="0" borderId="0" xfId="0" applyFont="1" applyProtection="1">
      <protection hidden="1"/>
    </xf>
    <xf numFmtId="2" fontId="0" fillId="0" borderId="0" xfId="0" applyNumberFormat="1"/>
    <xf numFmtId="10" fontId="25" fillId="0" borderId="0" xfId="6" applyNumberFormat="1" applyFont="1" applyFill="1" applyBorder="1" applyAlignment="1">
      <alignment horizontal="center" vertical="center"/>
    </xf>
    <xf numFmtId="10" fontId="25" fillId="0" borderId="0" xfId="1" applyNumberFormat="1" applyFont="1" applyFill="1" applyBorder="1" applyAlignment="1">
      <alignment horizontal="center" vertical="center"/>
    </xf>
    <xf numFmtId="165" fontId="23" fillId="5" borderId="0" xfId="4" applyFont="1" applyFill="1" applyBorder="1" applyAlignment="1">
      <alignment horizontal="center" vertical="center"/>
    </xf>
    <xf numFmtId="0" fontId="14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0" fillId="0" borderId="18" xfId="0" applyBorder="1"/>
    <xf numFmtId="0" fontId="11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Fill="1" applyBorder="1"/>
    <xf numFmtId="0" fontId="2" fillId="0" borderId="22" xfId="2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 wrapText="1"/>
    </xf>
    <xf numFmtId="4" fontId="19" fillId="0" borderId="25" xfId="6" applyNumberFormat="1" applyFont="1" applyFill="1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0" fillId="0" borderId="18" xfId="0" applyFill="1" applyBorder="1"/>
    <xf numFmtId="4" fontId="19" fillId="0" borderId="18" xfId="6" applyNumberFormat="1" applyFont="1" applyFill="1" applyBorder="1" applyAlignment="1">
      <alignment horizontal="center" vertical="center"/>
    </xf>
    <xf numFmtId="10" fontId="2" fillId="0" borderId="0" xfId="2" applyNumberFormat="1" applyFill="1" applyBorder="1"/>
    <xf numFmtId="0" fontId="1" fillId="0" borderId="20" xfId="8" applyFill="1" applyBorder="1"/>
    <xf numFmtId="0" fontId="11" fillId="0" borderId="0" xfId="2" applyFont="1" applyBorder="1" applyAlignment="1">
      <alignment horizontal="center" vertical="center"/>
    </xf>
    <xf numFmtId="10" fontId="11" fillId="0" borderId="0" xfId="8" applyNumberFormat="1" applyFont="1" applyFill="1" applyBorder="1" applyAlignment="1">
      <alignment horizontal="center" vertical="center"/>
    </xf>
    <xf numFmtId="0" fontId="11" fillId="7" borderId="18" xfId="2" applyFont="1" applyFill="1" applyBorder="1" applyAlignment="1">
      <alignment horizontal="center" vertical="center"/>
    </xf>
    <xf numFmtId="0" fontId="11" fillId="7" borderId="24" xfId="2" applyFont="1" applyFill="1" applyBorder="1" applyAlignment="1">
      <alignment horizontal="center" vertical="center"/>
    </xf>
    <xf numFmtId="0" fontId="2" fillId="0" borderId="18" xfId="2" applyFill="1" applyBorder="1" applyAlignment="1">
      <alignment horizontal="center"/>
    </xf>
    <xf numFmtId="0" fontId="2" fillId="0" borderId="24" xfId="2" applyFill="1" applyBorder="1" applyAlignment="1">
      <alignment horizontal="left"/>
    </xf>
    <xf numFmtId="0" fontId="1" fillId="0" borderId="24" xfId="2" applyFont="1" applyFill="1" applyBorder="1" applyAlignment="1">
      <alignment horizontal="left"/>
    </xf>
    <xf numFmtId="0" fontId="11" fillId="0" borderId="18" xfId="2" applyFont="1" applyBorder="1" applyAlignment="1">
      <alignment horizontal="center" vertical="center" wrapText="1"/>
    </xf>
    <xf numFmtId="10" fontId="11" fillId="0" borderId="18" xfId="2" applyNumberFormat="1" applyFont="1" applyBorder="1" applyAlignment="1">
      <alignment horizontal="center" vertical="center" wrapText="1"/>
    </xf>
    <xf numFmtId="10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0" fillId="0" borderId="0" xfId="0" applyFill="1"/>
    <xf numFmtId="0" fontId="1" fillId="0" borderId="0" xfId="8" applyFill="1" applyBorder="1"/>
    <xf numFmtId="10" fontId="0" fillId="0" borderId="27" xfId="9" applyNumberFormat="1" applyFont="1" applyFill="1" applyBorder="1"/>
    <xf numFmtId="0" fontId="2" fillId="0" borderId="0" xfId="2" applyFill="1" applyBorder="1"/>
    <xf numFmtId="3" fontId="2" fillId="0" borderId="27" xfId="2" applyNumberFormat="1" applyFill="1" applyBorder="1"/>
    <xf numFmtId="3" fontId="2" fillId="0" borderId="0" xfId="2" applyNumberFormat="1" applyFill="1" applyBorder="1"/>
    <xf numFmtId="10" fontId="2" fillId="0" borderId="27" xfId="2" applyNumberFormat="1" applyFill="1" applyBorder="1"/>
    <xf numFmtId="10" fontId="2" fillId="0" borderId="26" xfId="2" applyNumberFormat="1" applyFill="1" applyBorder="1"/>
    <xf numFmtId="0" fontId="0" fillId="0" borderId="0" xfId="0" applyBorder="1"/>
    <xf numFmtId="169" fontId="0" fillId="0" borderId="0" xfId="0" applyNumberFormat="1" applyBorder="1"/>
    <xf numFmtId="165" fontId="22" fillId="6" borderId="0" xfId="4" applyFont="1" applyFill="1" applyBorder="1" applyAlignment="1">
      <alignment horizontal="center" vertical="center"/>
    </xf>
    <xf numFmtId="1" fontId="22" fillId="5" borderId="0" xfId="6" applyNumberFormat="1" applyFont="1" applyFill="1" applyBorder="1" applyAlignment="1">
      <alignment horizontal="center" vertical="center"/>
    </xf>
    <xf numFmtId="2" fontId="23" fillId="5" borderId="0" xfId="4" applyNumberFormat="1" applyFont="1" applyFill="1" applyBorder="1" applyAlignment="1">
      <alignment horizontal="center" vertical="center"/>
    </xf>
    <xf numFmtId="10" fontId="26" fillId="0" borderId="0" xfId="1" applyNumberFormat="1" applyFont="1" applyFill="1" applyBorder="1" applyAlignment="1">
      <alignment horizontal="center" vertical="center"/>
    </xf>
    <xf numFmtId="10" fontId="26" fillId="0" borderId="0" xfId="6" applyNumberFormat="1" applyFont="1" applyFill="1" applyBorder="1" applyAlignment="1">
      <alignment horizontal="center" vertical="center"/>
    </xf>
    <xf numFmtId="10" fontId="23" fillId="0" borderId="0" xfId="1" applyNumberFormat="1" applyFont="1" applyFill="1" applyBorder="1" applyAlignment="1">
      <alignment horizontal="center" vertical="center"/>
    </xf>
    <xf numFmtId="10" fontId="23" fillId="0" borderId="0" xfId="6" applyNumberFormat="1" applyFont="1" applyFill="1" applyBorder="1" applyAlignment="1">
      <alignment horizontal="center" vertical="center"/>
    </xf>
    <xf numFmtId="10" fontId="0" fillId="0" borderId="0" xfId="1" applyNumberFormat="1" applyFont="1" applyBorder="1"/>
    <xf numFmtId="2" fontId="0" fillId="0" borderId="0" xfId="0" applyNumberFormat="1" applyBorder="1"/>
    <xf numFmtId="0" fontId="29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vertical="center"/>
    </xf>
    <xf numFmtId="0" fontId="31" fillId="0" borderId="0" xfId="0" applyFont="1"/>
    <xf numFmtId="0" fontId="32" fillId="0" borderId="0" xfId="0" applyFont="1"/>
    <xf numFmtId="10" fontId="34" fillId="0" borderId="0" xfId="2" applyNumberFormat="1" applyFont="1" applyFill="1" applyBorder="1"/>
    <xf numFmtId="10" fontId="34" fillId="0" borderId="26" xfId="2" applyNumberFormat="1" applyFont="1" applyFill="1" applyBorder="1"/>
    <xf numFmtId="10" fontId="35" fillId="0" borderId="27" xfId="2" applyNumberFormat="1" applyFont="1" applyFill="1" applyBorder="1"/>
    <xf numFmtId="10" fontId="35" fillId="0" borderId="0" xfId="2" applyNumberFormat="1" applyFont="1" applyFill="1" applyBorder="1"/>
    <xf numFmtId="10" fontId="22" fillId="3" borderId="18" xfId="2" applyNumberFormat="1" applyFont="1" applyFill="1" applyBorder="1" applyAlignment="1">
      <alignment horizontal="center" vertical="center"/>
    </xf>
    <xf numFmtId="10" fontId="22" fillId="0" borderId="18" xfId="2" applyNumberFormat="1" applyFont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 wrapText="1"/>
    </xf>
    <xf numFmtId="0" fontId="11" fillId="8" borderId="18" xfId="2" applyFont="1" applyFill="1" applyBorder="1" applyAlignment="1">
      <alignment horizontal="center" vertical="center"/>
    </xf>
    <xf numFmtId="10" fontId="11" fillId="8" borderId="18" xfId="8" applyNumberFormat="1" applyFont="1" applyFill="1" applyBorder="1" applyAlignment="1">
      <alignment horizontal="center" vertical="center"/>
    </xf>
    <xf numFmtId="10" fontId="1" fillId="0" borderId="0" xfId="8" applyNumberFormat="1" applyFill="1" applyBorder="1" applyAlignment="1">
      <alignment horizontal="center"/>
    </xf>
    <xf numFmtId="10" fontId="1" fillId="0" borderId="26" xfId="8" applyNumberFormat="1" applyFill="1" applyBorder="1" applyAlignment="1">
      <alignment horizontal="center"/>
    </xf>
    <xf numFmtId="0" fontId="16" fillId="0" borderId="0" xfId="0" applyFont="1"/>
    <xf numFmtId="0" fontId="37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1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9" fontId="14" fillId="0" borderId="0" xfId="1" applyFont="1" applyProtection="1">
      <protection hidden="1"/>
    </xf>
    <xf numFmtId="0" fontId="37" fillId="0" borderId="0" xfId="0" applyFont="1"/>
    <xf numFmtId="0" fontId="37" fillId="0" borderId="0" xfId="0" applyFont="1" applyAlignment="1" applyProtection="1">
      <alignment horizontal="right"/>
      <protection hidden="1"/>
    </xf>
    <xf numFmtId="0" fontId="37" fillId="0" borderId="0" xfId="0" applyFont="1" applyAlignment="1">
      <alignment vertical="center"/>
    </xf>
    <xf numFmtId="0" fontId="0" fillId="0" borderId="23" xfId="0" applyBorder="1"/>
    <xf numFmtId="0" fontId="0" fillId="0" borderId="28" xfId="0" applyBorder="1"/>
    <xf numFmtId="10" fontId="19" fillId="3" borderId="28" xfId="2" applyNumberFormat="1" applyFont="1" applyFill="1" applyBorder="1" applyAlignment="1">
      <alignment horizontal="center" vertical="center"/>
    </xf>
    <xf numFmtId="10" fontId="11" fillId="0" borderId="27" xfId="9" applyNumberFormat="1" applyFont="1" applyFill="1" applyBorder="1"/>
    <xf numFmtId="2" fontId="0" fillId="0" borderId="18" xfId="0" applyNumberFormat="1" applyBorder="1" applyAlignment="1">
      <alignment horizontal="center" vertical="center"/>
    </xf>
    <xf numFmtId="10" fontId="28" fillId="0" borderId="27" xfId="2" applyNumberFormat="1" applyFont="1" applyFill="1" applyBorder="1"/>
    <xf numFmtId="10" fontId="28" fillId="0" borderId="0" xfId="2" applyNumberFormat="1" applyFont="1" applyFill="1" applyBorder="1"/>
    <xf numFmtId="0" fontId="11" fillId="0" borderId="0" xfId="8" applyFont="1" applyFill="1" applyBorder="1"/>
    <xf numFmtId="0" fontId="37" fillId="0" borderId="0" xfId="0" applyFont="1" applyFill="1" applyBorder="1" applyAlignment="1" applyProtection="1">
      <alignment horizontal="left" vertical="center"/>
      <protection hidden="1"/>
    </xf>
    <xf numFmtId="0" fontId="0" fillId="0" borderId="19" xfId="0" applyFill="1" applyBorder="1"/>
    <xf numFmtId="10" fontId="2" fillId="0" borderId="30" xfId="2" applyNumberFormat="1" applyFill="1" applyBorder="1"/>
    <xf numFmtId="10" fontId="2" fillId="0" borderId="31" xfId="2" applyNumberFormat="1" applyFill="1" applyBorder="1"/>
    <xf numFmtId="10" fontId="2" fillId="0" borderId="32" xfId="2" applyNumberFormat="1" applyFill="1" applyBorder="1"/>
    <xf numFmtId="10" fontId="2" fillId="0" borderId="22" xfId="2" applyNumberFormat="1" applyFill="1" applyBorder="1"/>
    <xf numFmtId="10" fontId="2" fillId="0" borderId="33" xfId="2" applyNumberFormat="1" applyFill="1" applyBorder="1"/>
    <xf numFmtId="10" fontId="28" fillId="0" borderId="32" xfId="2" applyNumberFormat="1" applyFont="1" applyFill="1" applyBorder="1"/>
    <xf numFmtId="10" fontId="28" fillId="0" borderId="22" xfId="2" applyNumberFormat="1" applyFont="1" applyFill="1" applyBorder="1"/>
    <xf numFmtId="10" fontId="35" fillId="0" borderId="22" xfId="2" applyNumberFormat="1" applyFont="1" applyFill="1" applyBorder="1"/>
    <xf numFmtId="0" fontId="0" fillId="0" borderId="18" xfId="0" applyBorder="1" applyAlignment="1">
      <alignment vertical="center"/>
    </xf>
    <xf numFmtId="10" fontId="24" fillId="0" borderId="0" xfId="6" applyNumberFormat="1" applyFont="1" applyFill="1" applyBorder="1" applyAlignment="1">
      <alignment horizontal="center" vertical="center"/>
    </xf>
    <xf numFmtId="10" fontId="24" fillId="0" borderId="0" xfId="1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0" fontId="0" fillId="0" borderId="0" xfId="1" applyNumberFormat="1" applyFont="1" applyFill="1" applyBorder="1"/>
    <xf numFmtId="0" fontId="0" fillId="0" borderId="0" xfId="0" applyBorder="1" applyAlignment="1">
      <alignment horizontal="left"/>
    </xf>
    <xf numFmtId="0" fontId="16" fillId="3" borderId="0" xfId="0" applyFont="1" applyFill="1" applyAlignment="1" applyProtection="1">
      <alignment horizontal="center"/>
      <protection locked="0" hidden="1"/>
    </xf>
    <xf numFmtId="0" fontId="33" fillId="0" borderId="0" xfId="2" applyFont="1" applyAlignment="1">
      <alignment horizontal="center"/>
    </xf>
    <xf numFmtId="0" fontId="32" fillId="0" borderId="0" xfId="0" applyFont="1" applyBorder="1"/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3" fillId="0" borderId="30" xfId="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/>
      <protection hidden="1"/>
    </xf>
    <xf numFmtId="9" fontId="3" fillId="0" borderId="5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wrapText="1"/>
      <protection hidden="1"/>
    </xf>
    <xf numFmtId="10" fontId="3" fillId="0" borderId="6" xfId="0" applyNumberFormat="1" applyFont="1" applyFill="1" applyBorder="1" applyAlignment="1" applyProtection="1">
      <alignment horizontal="center" vertical="center"/>
      <protection hidden="1"/>
    </xf>
    <xf numFmtId="3" fontId="3" fillId="0" borderId="9" xfId="0" applyNumberFormat="1" applyFont="1" applyFill="1" applyBorder="1" applyAlignment="1" applyProtection="1">
      <alignment horizontal="center" vertical="center"/>
      <protection hidden="1"/>
    </xf>
    <xf numFmtId="9" fontId="3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3" fontId="3" fillId="0" borderId="6" xfId="0" applyNumberFormat="1" applyFont="1" applyFill="1" applyBorder="1" applyAlignment="1" applyProtection="1">
      <alignment horizontal="center" vertical="center"/>
      <protection hidden="1"/>
    </xf>
    <xf numFmtId="9" fontId="3" fillId="0" borderId="28" xfId="0" applyNumberFormat="1" applyFont="1" applyFill="1" applyBorder="1" applyAlignment="1">
      <alignment horizontal="left" vertical="center"/>
    </xf>
    <xf numFmtId="9" fontId="3" fillId="0" borderId="28" xfId="0" applyNumberFormat="1" applyFont="1" applyFill="1" applyBorder="1" applyAlignment="1">
      <alignment horizontal="center" vertical="center"/>
    </xf>
    <xf numFmtId="1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36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168" fontId="41" fillId="0" borderId="18" xfId="1" applyNumberFormat="1" applyFont="1" applyBorder="1" applyAlignment="1" applyProtection="1">
      <alignment horizontal="center" vertical="center"/>
      <protection hidden="1"/>
    </xf>
    <xf numFmtId="0" fontId="42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167" fontId="7" fillId="3" borderId="16" xfId="0" applyNumberFormat="1" applyFont="1" applyFill="1" applyBorder="1" applyAlignment="1" applyProtection="1">
      <alignment horizontal="center" vertical="center"/>
      <protection hidden="1"/>
    </xf>
    <xf numFmtId="167" fontId="3" fillId="3" borderId="16" xfId="0" applyNumberFormat="1" applyFont="1" applyFill="1" applyBorder="1" applyAlignment="1" applyProtection="1">
      <alignment horizontal="center" vertical="center"/>
      <protection hidden="1"/>
    </xf>
    <xf numFmtId="167" fontId="3" fillId="3" borderId="17" xfId="0" applyNumberFormat="1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167" fontId="3" fillId="3" borderId="13" xfId="0" applyNumberFormat="1" applyFont="1" applyFill="1" applyBorder="1" applyAlignment="1" applyProtection="1">
      <alignment horizontal="center" vertical="center"/>
      <protection hidden="1"/>
    </xf>
    <xf numFmtId="167" fontId="3" fillId="3" borderId="14" xfId="0" applyNumberFormat="1" applyFont="1" applyFill="1" applyBorder="1" applyAlignment="1" applyProtection="1">
      <alignment horizontal="center" vertical="center"/>
      <protection hidden="1"/>
    </xf>
    <xf numFmtId="165" fontId="3" fillId="0" borderId="0" xfId="4" applyFont="1" applyProtection="1">
      <protection hidden="1"/>
    </xf>
    <xf numFmtId="0" fontId="7" fillId="0" borderId="0" xfId="0" applyFont="1"/>
    <xf numFmtId="0" fontId="18" fillId="0" borderId="0" xfId="0" applyFont="1"/>
    <xf numFmtId="0" fontId="39" fillId="4" borderId="0" xfId="0" applyFont="1" applyFill="1" applyAlignment="1">
      <alignment vertical="center"/>
    </xf>
    <xf numFmtId="0" fontId="39" fillId="0" borderId="0" xfId="0" applyFont="1" applyFill="1" applyBorder="1" applyAlignment="1" applyProtection="1">
      <alignment horizontal="left" vertical="center"/>
      <protection hidden="1"/>
    </xf>
    <xf numFmtId="0" fontId="43" fillId="0" borderId="0" xfId="0" applyFont="1" applyProtection="1">
      <protection hidden="1"/>
    </xf>
    <xf numFmtId="0" fontId="42" fillId="0" borderId="0" xfId="0" applyFont="1" applyProtection="1">
      <protection hidden="1"/>
    </xf>
    <xf numFmtId="9" fontId="18" fillId="0" borderId="0" xfId="1" applyFont="1" applyProtection="1">
      <protection hidden="1"/>
    </xf>
    <xf numFmtId="0" fontId="18" fillId="0" borderId="0" xfId="0" applyFont="1" applyFill="1" applyProtection="1">
      <protection hidden="1"/>
    </xf>
    <xf numFmtId="0" fontId="43" fillId="0" borderId="0" xfId="0" applyFont="1" applyFill="1" applyProtection="1">
      <protection hidden="1"/>
    </xf>
    <xf numFmtId="0" fontId="3" fillId="0" borderId="30" xfId="0" applyFont="1" applyBorder="1" applyProtection="1">
      <protection hidden="1"/>
    </xf>
    <xf numFmtId="3" fontId="3" fillId="0" borderId="30" xfId="0" applyNumberFormat="1" applyFont="1" applyBorder="1" applyProtection="1">
      <protection hidden="1"/>
    </xf>
    <xf numFmtId="3" fontId="3" fillId="0" borderId="0" xfId="0" applyNumberFormat="1" applyFont="1" applyProtection="1">
      <protection hidden="1"/>
    </xf>
    <xf numFmtId="3" fontId="3" fillId="0" borderId="0" xfId="0" applyNumberFormat="1" applyFont="1" applyBorder="1" applyProtection="1"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44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Fill="1" applyProtection="1">
      <protection locked="0" hidden="1"/>
    </xf>
    <xf numFmtId="0" fontId="18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0" fillId="0" borderId="0" xfId="0" applyFont="1" applyAlignment="1" applyProtection="1">
      <alignment horizontal="left" vertical="center" wrapText="1"/>
      <protection hidden="1"/>
    </xf>
    <xf numFmtId="3" fontId="0" fillId="0" borderId="18" xfId="0" applyNumberFormat="1" applyFont="1" applyBorder="1" applyAlignment="1" applyProtection="1">
      <alignment horizontal="center" vertical="center" wrapText="1"/>
      <protection hidden="1"/>
    </xf>
    <xf numFmtId="10" fontId="8" fillId="0" borderId="18" xfId="0" applyNumberFormat="1" applyFont="1" applyBorder="1" applyAlignment="1" applyProtection="1">
      <alignment horizontal="center" vertical="center" wrapText="1"/>
      <protection hidden="1"/>
    </xf>
    <xf numFmtId="3" fontId="8" fillId="0" borderId="18" xfId="0" applyNumberFormat="1" applyFont="1" applyBorder="1" applyAlignment="1" applyProtection="1">
      <alignment horizontal="center" vertical="center" wrapText="1"/>
      <protection hidden="1"/>
    </xf>
    <xf numFmtId="3" fontId="0" fillId="0" borderId="18" xfId="0" applyNumberFormat="1" applyFont="1" applyBorder="1" applyAlignment="1" applyProtection="1">
      <alignment horizontal="center" vertical="center"/>
      <protection hidden="1"/>
    </xf>
    <xf numFmtId="168" fontId="45" fillId="0" borderId="18" xfId="1" applyNumberFormat="1" applyFont="1" applyBorder="1" applyAlignment="1" applyProtection="1">
      <alignment horizontal="center" vertical="center" wrapText="1"/>
      <protection hidden="1"/>
    </xf>
    <xf numFmtId="168" fontId="0" fillId="0" borderId="18" xfId="1" applyNumberFormat="1" applyFont="1" applyBorder="1" applyAlignment="1" applyProtection="1">
      <alignment horizontal="center" vertical="center" wrapText="1"/>
      <protection hidden="1"/>
    </xf>
    <xf numFmtId="0" fontId="0" fillId="0" borderId="0" xfId="0" applyFont="1" applyAlignment="1">
      <alignment horizontal="center" vertical="center" wrapText="1"/>
    </xf>
    <xf numFmtId="10" fontId="8" fillId="0" borderId="18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168" fontId="45" fillId="0" borderId="18" xfId="1" applyNumberFormat="1" applyFont="1" applyBorder="1" applyAlignment="1" applyProtection="1">
      <alignment horizontal="center" vertical="center"/>
      <protection hidden="1"/>
    </xf>
    <xf numFmtId="168" fontId="0" fillId="0" borderId="18" xfId="1" applyNumberFormat="1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3" fontId="0" fillId="0" borderId="0" xfId="0" applyNumberFormat="1" applyFont="1" applyProtection="1">
      <protection hidden="1"/>
    </xf>
    <xf numFmtId="2" fontId="0" fillId="0" borderId="0" xfId="0" applyNumberFormat="1" applyFont="1" applyProtection="1">
      <protection hidden="1"/>
    </xf>
    <xf numFmtId="4" fontId="0" fillId="0" borderId="0" xfId="0" applyNumberFormat="1" applyFont="1" applyProtection="1">
      <protection hidden="1"/>
    </xf>
    <xf numFmtId="10" fontId="3" fillId="12" borderId="9" xfId="0" applyNumberFormat="1" applyFont="1" applyFill="1" applyBorder="1" applyAlignment="1" applyProtection="1">
      <alignment horizontal="center" vertical="center"/>
      <protection locked="0"/>
    </xf>
    <xf numFmtId="0" fontId="46" fillId="12" borderId="35" xfId="0" applyFont="1" applyFill="1" applyBorder="1" applyAlignment="1" applyProtection="1">
      <alignment vertical="center"/>
      <protection locked="0" hidden="1"/>
    </xf>
    <xf numFmtId="0" fontId="9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0" fontId="3" fillId="13" borderId="18" xfId="1" applyNumberFormat="1" applyFont="1" applyFill="1" applyBorder="1" applyAlignment="1" applyProtection="1">
      <alignment horizontal="center" vertical="center" wrapText="1"/>
      <protection locked="0" hidden="1"/>
    </xf>
    <xf numFmtId="10" fontId="0" fillId="13" borderId="18" xfId="1" applyNumberFormat="1" applyFont="1" applyFill="1" applyBorder="1" applyAlignment="1" applyProtection="1">
      <alignment horizontal="center" vertical="center" wrapText="1"/>
      <protection locked="0" hidden="1"/>
    </xf>
    <xf numFmtId="0" fontId="43" fillId="0" borderId="0" xfId="0" applyFont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left" indent="3"/>
      <protection hidden="1"/>
    </xf>
    <xf numFmtId="0" fontId="3" fillId="0" borderId="4" xfId="0" applyFont="1" applyBorder="1" applyAlignment="1" applyProtection="1">
      <alignment horizontal="left" vertical="center" indent="3"/>
      <protection hidden="1"/>
    </xf>
    <xf numFmtId="0" fontId="3" fillId="0" borderId="4" xfId="0" applyFont="1" applyFill="1" applyBorder="1" applyAlignment="1" applyProtection="1">
      <alignment horizontal="left" vertical="center" indent="3"/>
      <protection hidden="1"/>
    </xf>
    <xf numFmtId="3" fontId="3" fillId="0" borderId="6" xfId="1" applyNumberFormat="1" applyFont="1" applyFill="1" applyBorder="1" applyAlignment="1" applyProtection="1">
      <alignment horizontal="center" vertical="center"/>
      <protection hidden="1"/>
    </xf>
    <xf numFmtId="0" fontId="6" fillId="10" borderId="18" xfId="0" applyFont="1" applyFill="1" applyBorder="1" applyAlignment="1" applyProtection="1">
      <alignment horizontal="center" vertical="center" wrapText="1"/>
      <protection hidden="1"/>
    </xf>
    <xf numFmtId="0" fontId="49" fillId="10" borderId="18" xfId="0" applyFont="1" applyFill="1" applyBorder="1" applyAlignment="1" applyProtection="1">
      <alignment horizontal="center" vertical="center" wrapText="1"/>
      <protection hidden="1"/>
    </xf>
    <xf numFmtId="0" fontId="11" fillId="10" borderId="18" xfId="0" applyFont="1" applyFill="1" applyBorder="1" applyAlignment="1" applyProtection="1">
      <alignment horizontal="center" vertical="center" wrapText="1"/>
      <protection hidden="1"/>
    </xf>
    <xf numFmtId="0" fontId="50" fillId="10" borderId="18" xfId="0" applyFont="1" applyFill="1" applyBorder="1" applyAlignment="1" applyProtection="1">
      <alignment horizontal="center" vertical="center" wrapText="1"/>
      <protection hidden="1"/>
    </xf>
    <xf numFmtId="0" fontId="3" fillId="0" borderId="38" xfId="0" applyFont="1" applyBorder="1" applyAlignment="1" applyProtection="1">
      <alignment vertical="center"/>
      <protection hidden="1"/>
    </xf>
    <xf numFmtId="0" fontId="3" fillId="0" borderId="39" xfId="0" applyFont="1" applyBorder="1" applyAlignment="1" applyProtection="1">
      <alignment vertical="center"/>
      <protection hidden="1"/>
    </xf>
    <xf numFmtId="0" fontId="3" fillId="0" borderId="40" xfId="0" applyFont="1" applyBorder="1" applyAlignment="1" applyProtection="1">
      <alignment vertical="center"/>
      <protection hidden="1"/>
    </xf>
    <xf numFmtId="0" fontId="0" fillId="0" borderId="38" xfId="0" applyBorder="1" applyProtection="1">
      <protection hidden="1"/>
    </xf>
    <xf numFmtId="0" fontId="0" fillId="0" borderId="38" xfId="0" applyFill="1" applyBorder="1" applyAlignment="1">
      <alignment horizontal="center"/>
    </xf>
    <xf numFmtId="0" fontId="0" fillId="0" borderId="39" xfId="0" applyBorder="1" applyProtection="1">
      <protection hidden="1"/>
    </xf>
    <xf numFmtId="10" fontId="0" fillId="13" borderId="39" xfId="1" applyNumberFormat="1" applyFont="1" applyFill="1" applyBorder="1" applyAlignment="1">
      <alignment horizontal="center"/>
    </xf>
    <xf numFmtId="0" fontId="7" fillId="0" borderId="38" xfId="0" applyFont="1" applyBorder="1" applyAlignment="1" applyProtection="1">
      <alignment vertical="center"/>
      <protection hidden="1"/>
    </xf>
    <xf numFmtId="0" fontId="7" fillId="0" borderId="39" xfId="0" applyFont="1" applyBorder="1" applyAlignment="1" applyProtection="1">
      <alignment vertical="center"/>
      <protection hidden="1"/>
    </xf>
    <xf numFmtId="0" fontId="7" fillId="0" borderId="40" xfId="0" applyFont="1" applyBorder="1" applyAlignment="1" applyProtection="1">
      <alignment vertical="center"/>
      <protection hidden="1"/>
    </xf>
    <xf numFmtId="0" fontId="0" fillId="0" borderId="38" xfId="0" applyFont="1" applyBorder="1" applyAlignment="1" applyProtection="1">
      <alignment vertical="center"/>
      <protection hidden="1"/>
    </xf>
    <xf numFmtId="0" fontId="0" fillId="0" borderId="39" xfId="0" applyFont="1" applyBorder="1" applyAlignment="1" applyProtection="1">
      <alignment vertical="center"/>
      <protection hidden="1"/>
    </xf>
    <xf numFmtId="0" fontId="0" fillId="0" borderId="40" xfId="0" applyFont="1" applyBorder="1" applyAlignment="1" applyProtection="1">
      <alignment vertical="center"/>
      <protection hidden="1"/>
    </xf>
    <xf numFmtId="0" fontId="51" fillId="0" borderId="0" xfId="0" applyFont="1" applyAlignment="1">
      <alignment vertical="center" wrapText="1"/>
    </xf>
    <xf numFmtId="1" fontId="7" fillId="12" borderId="35" xfId="0" applyNumberFormat="1" applyFont="1" applyFill="1" applyBorder="1" applyAlignment="1" applyProtection="1">
      <alignment horizontal="center" vertical="center"/>
      <protection locked="0"/>
    </xf>
    <xf numFmtId="3" fontId="46" fillId="12" borderId="6" xfId="0" applyNumberFormat="1" applyFont="1" applyFill="1" applyBorder="1" applyAlignment="1" applyProtection="1">
      <alignment horizontal="center" vertical="center"/>
      <protection locked="0" hidden="1"/>
    </xf>
    <xf numFmtId="168" fontId="3" fillId="12" borderId="33" xfId="0" applyNumberFormat="1" applyFont="1" applyFill="1" applyBorder="1" applyAlignment="1" applyProtection="1">
      <alignment horizontal="center" vertical="center"/>
      <protection locked="0" hidden="1"/>
    </xf>
    <xf numFmtId="1" fontId="3" fillId="12" borderId="9" xfId="0" applyNumberFormat="1" applyFont="1" applyFill="1" applyBorder="1" applyAlignment="1" applyProtection="1">
      <alignment horizontal="center" vertical="center"/>
      <protection locked="0"/>
    </xf>
    <xf numFmtId="166" fontId="3" fillId="12" borderId="9" xfId="0" applyNumberFormat="1" applyFont="1" applyFill="1" applyBorder="1" applyAlignment="1" applyProtection="1">
      <alignment horizontal="center" vertical="center"/>
      <protection locked="0"/>
    </xf>
    <xf numFmtId="3" fontId="3" fillId="12" borderId="9" xfId="0" applyNumberFormat="1" applyFont="1" applyFill="1" applyBorder="1" applyAlignment="1" applyProtection="1">
      <alignment horizontal="center" vertical="center"/>
      <protection locked="0"/>
    </xf>
    <xf numFmtId="3" fontId="3" fillId="12" borderId="6" xfId="0" applyNumberFormat="1" applyFont="1" applyFill="1" applyBorder="1" applyAlignment="1" applyProtection="1">
      <alignment horizontal="center" vertical="center"/>
      <protection locked="0"/>
    </xf>
    <xf numFmtId="1" fontId="7" fillId="1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indent="3"/>
      <protection hidden="1"/>
    </xf>
    <xf numFmtId="0" fontId="6" fillId="0" borderId="10" xfId="0" applyFont="1" applyFill="1" applyBorder="1" applyAlignment="1" applyProtection="1">
      <alignment horizontal="center" vertical="center"/>
      <protection hidden="1"/>
    </xf>
    <xf numFmtId="10" fontId="6" fillId="0" borderId="6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10" fontId="45" fillId="0" borderId="18" xfId="0" applyNumberFormat="1" applyFont="1" applyFill="1" applyBorder="1"/>
    <xf numFmtId="4" fontId="0" fillId="0" borderId="18" xfId="0" applyNumberForma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28" xfId="0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0" xfId="0" applyBorder="1" applyAlignment="1"/>
    <xf numFmtId="0" fontId="52" fillId="0" borderId="18" xfId="0" applyFont="1" applyBorder="1" applyAlignment="1">
      <alignment horizontal="left" vertical="center"/>
    </xf>
    <xf numFmtId="0" fontId="45" fillId="0" borderId="18" xfId="0" applyFont="1" applyBorder="1"/>
    <xf numFmtId="0" fontId="53" fillId="0" borderId="18" xfId="2" applyFont="1" applyBorder="1" applyAlignment="1">
      <alignment horizontal="center" vertical="center"/>
    </xf>
    <xf numFmtId="0" fontId="53" fillId="0" borderId="18" xfId="2" applyFont="1" applyBorder="1" applyAlignment="1">
      <alignment horizontal="center" vertical="center" wrapText="1"/>
    </xf>
    <xf numFmtId="10" fontId="54" fillId="3" borderId="18" xfId="2" applyNumberFormat="1" applyFont="1" applyFill="1" applyBorder="1" applyAlignment="1">
      <alignment horizontal="center" vertical="center"/>
    </xf>
    <xf numFmtId="10" fontId="54" fillId="0" borderId="18" xfId="2" applyNumberFormat="1" applyFont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vertical="center"/>
    </xf>
    <xf numFmtId="0" fontId="45" fillId="3" borderId="21" xfId="0" applyFont="1" applyFill="1" applyBorder="1" applyAlignment="1">
      <alignment vertical="center"/>
    </xf>
    <xf numFmtId="4" fontId="54" fillId="0" borderId="18" xfId="6" applyNumberFormat="1" applyFont="1" applyFill="1" applyBorder="1" applyAlignment="1">
      <alignment horizontal="center" vertical="center"/>
    </xf>
    <xf numFmtId="4" fontId="54" fillId="0" borderId="18" xfId="1" applyNumberFormat="1" applyFont="1" applyFill="1" applyBorder="1" applyAlignment="1">
      <alignment horizontal="center" vertical="center"/>
    </xf>
    <xf numFmtId="0" fontId="38" fillId="0" borderId="23" xfId="0" applyFont="1" applyBorder="1" applyAlignment="1">
      <alignment horizontal="left" vertical="center" wrapText="1"/>
    </xf>
    <xf numFmtId="0" fontId="55" fillId="0" borderId="23" xfId="0" applyFont="1" applyBorder="1" applyAlignment="1">
      <alignment horizontal="left" vertical="center" wrapText="1"/>
    </xf>
    <xf numFmtId="2" fontId="54" fillId="0" borderId="18" xfId="6" applyNumberFormat="1" applyFont="1" applyFill="1" applyBorder="1" applyAlignment="1">
      <alignment horizontal="center" vertical="center"/>
    </xf>
    <xf numFmtId="0" fontId="45" fillId="0" borderId="0" xfId="0" applyFont="1"/>
    <xf numFmtId="4" fontId="53" fillId="0" borderId="18" xfId="1" applyNumberFormat="1" applyFont="1" applyFill="1" applyBorder="1" applyAlignment="1">
      <alignment horizontal="center" vertical="center"/>
    </xf>
    <xf numFmtId="0" fontId="45" fillId="0" borderId="18" xfId="0" applyFont="1" applyBorder="1" applyAlignment="1">
      <alignment vertical="center"/>
    </xf>
    <xf numFmtId="0" fontId="45" fillId="0" borderId="0" xfId="8" applyFont="1" applyFill="1" applyBorder="1"/>
    <xf numFmtId="10" fontId="45" fillId="0" borderId="27" xfId="2" applyNumberFormat="1" applyFont="1" applyFill="1" applyBorder="1"/>
    <xf numFmtId="10" fontId="45" fillId="0" borderId="0" xfId="2" applyNumberFormat="1" applyFont="1" applyFill="1" applyBorder="1"/>
    <xf numFmtId="10" fontId="45" fillId="0" borderId="0" xfId="0" applyNumberFormat="1" applyFont="1"/>
    <xf numFmtId="3" fontId="45" fillId="0" borderId="27" xfId="2" applyNumberFormat="1" applyFont="1" applyFill="1" applyBorder="1"/>
    <xf numFmtId="3" fontId="45" fillId="0" borderId="0" xfId="2" applyNumberFormat="1" applyFont="1" applyFill="1" applyBorder="1"/>
    <xf numFmtId="0" fontId="45" fillId="0" borderId="18" xfId="0" applyFont="1" applyFill="1" applyBorder="1"/>
    <xf numFmtId="10" fontId="45" fillId="0" borderId="29" xfId="2" applyNumberFormat="1" applyFont="1" applyFill="1" applyBorder="1"/>
    <xf numFmtId="10" fontId="45" fillId="0" borderId="30" xfId="2" applyNumberFormat="1" applyFont="1" applyFill="1" applyBorder="1"/>
    <xf numFmtId="10" fontId="45" fillId="0" borderId="32" xfId="2" applyNumberFormat="1" applyFont="1" applyFill="1" applyBorder="1"/>
    <xf numFmtId="10" fontId="45" fillId="0" borderId="22" xfId="2" applyNumberFormat="1" applyFont="1" applyFill="1" applyBorder="1"/>
    <xf numFmtId="10" fontId="45" fillId="0" borderId="31" xfId="2" applyNumberFormat="1" applyFont="1" applyFill="1" applyBorder="1"/>
    <xf numFmtId="10" fontId="45" fillId="0" borderId="26" xfId="2" applyNumberFormat="1" applyFont="1" applyFill="1" applyBorder="1"/>
    <xf numFmtId="10" fontId="45" fillId="0" borderId="33" xfId="2" applyNumberFormat="1" applyFont="1" applyFill="1" applyBorder="1"/>
    <xf numFmtId="0" fontId="52" fillId="9" borderId="18" xfId="0" applyFont="1" applyFill="1" applyBorder="1" applyAlignment="1">
      <alignment horizontal="center" vertical="center" wrapText="1"/>
    </xf>
    <xf numFmtId="10" fontId="7" fillId="0" borderId="0" xfId="0" applyNumberFormat="1" applyFont="1" applyProtection="1">
      <protection hidden="1"/>
    </xf>
    <xf numFmtId="0" fontId="16" fillId="0" borderId="40" xfId="0" applyFont="1" applyFill="1" applyBorder="1" applyProtection="1">
      <protection hidden="1"/>
    </xf>
    <xf numFmtId="0" fontId="16" fillId="0" borderId="40" xfId="0" applyFont="1" applyFill="1" applyBorder="1" applyProtection="1">
      <protection locked="0" hidden="1"/>
    </xf>
    <xf numFmtId="0" fontId="3" fillId="0" borderId="37" xfId="0" applyFont="1" applyBorder="1" applyAlignment="1" applyProtection="1">
      <alignment horizontal="left" indent="3"/>
      <protection hidden="1"/>
    </xf>
    <xf numFmtId="9" fontId="3" fillId="0" borderId="41" xfId="0" applyNumberFormat="1" applyFont="1" applyFill="1" applyBorder="1" applyAlignment="1" applyProtection="1">
      <alignment horizontal="center"/>
      <protection hidden="1"/>
    </xf>
    <xf numFmtId="10" fontId="7" fillId="12" borderId="4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43" xfId="0" applyFont="1" applyFill="1" applyBorder="1" applyAlignment="1" applyProtection="1">
      <alignment horizontal="left" vertical="center" indent="3"/>
      <protection hidden="1"/>
    </xf>
    <xf numFmtId="0" fontId="3" fillId="0" borderId="44" xfId="0" applyFont="1" applyFill="1" applyBorder="1" applyAlignment="1" applyProtection="1">
      <alignment horizontal="center" vertical="center"/>
      <protection hidden="1"/>
    </xf>
    <xf numFmtId="10" fontId="3" fillId="12" borderId="45" xfId="1" applyNumberFormat="1" applyFont="1" applyFill="1" applyBorder="1" applyAlignment="1" applyProtection="1">
      <alignment horizontal="center" vertical="center"/>
      <protection locked="0" hidden="1"/>
    </xf>
    <xf numFmtId="10" fontId="56" fillId="0" borderId="0" xfId="0" applyNumberFormat="1" applyFont="1" applyAlignment="1" applyProtection="1">
      <alignment horizontal="left" vertical="center"/>
      <protection hidden="1"/>
    </xf>
    <xf numFmtId="170" fontId="56" fillId="0" borderId="0" xfId="1" applyNumberFormat="1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56" fillId="0" borderId="0" xfId="0" applyFont="1" applyFill="1" applyAlignment="1" applyProtection="1">
      <alignment horizontal="left" vertical="center"/>
      <protection hidden="1"/>
    </xf>
    <xf numFmtId="0" fontId="14" fillId="0" borderId="0" xfId="8" applyFont="1" applyFill="1" applyBorder="1"/>
    <xf numFmtId="10" fontId="14" fillId="0" borderId="27" xfId="2" applyNumberFormat="1" applyFont="1" applyFill="1" applyBorder="1"/>
    <xf numFmtId="10" fontId="14" fillId="0" borderId="0" xfId="2" applyNumberFormat="1" applyFont="1" applyFill="1" applyBorder="1"/>
    <xf numFmtId="10" fontId="14" fillId="0" borderId="0" xfId="0" applyNumberFormat="1" applyFont="1"/>
    <xf numFmtId="3" fontId="14" fillId="0" borderId="27" xfId="2" applyNumberFormat="1" applyFont="1" applyFill="1" applyBorder="1"/>
    <xf numFmtId="3" fontId="14" fillId="0" borderId="0" xfId="2" applyNumberFormat="1" applyFont="1" applyFill="1" applyBorder="1"/>
    <xf numFmtId="0" fontId="7" fillId="0" borderId="23" xfId="0" applyFont="1" applyBorder="1" applyAlignment="1">
      <alignment horizontal="left" vertical="center" indent="3"/>
    </xf>
    <xf numFmtId="0" fontId="9" fillId="0" borderId="23" xfId="0" applyFont="1" applyBorder="1"/>
    <xf numFmtId="0" fontId="3" fillId="0" borderId="28" xfId="0" applyFont="1" applyBorder="1"/>
    <xf numFmtId="1" fontId="46" fillId="12" borderId="35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3"/>
      <protection hidden="1"/>
    </xf>
    <xf numFmtId="0" fontId="3" fillId="0" borderId="47" xfId="0" applyFont="1" applyFill="1" applyBorder="1" applyAlignment="1" applyProtection="1">
      <alignment horizontal="center" vertical="center"/>
      <protection hidden="1"/>
    </xf>
    <xf numFmtId="10" fontId="3" fillId="12" borderId="3" xfId="1" applyNumberFormat="1" applyFont="1" applyFill="1" applyBorder="1" applyAlignment="1" applyProtection="1">
      <alignment horizontal="center" vertical="center"/>
      <protection locked="0" hidden="1"/>
    </xf>
    <xf numFmtId="0" fontId="3" fillId="0" borderId="7" xfId="0" applyFont="1" applyBorder="1" applyAlignment="1" applyProtection="1">
      <alignment horizontal="left" vertical="center" indent="3"/>
      <protection hidden="1"/>
    </xf>
    <xf numFmtId="3" fontId="3" fillId="0" borderId="8" xfId="0" applyNumberFormat="1" applyFont="1" applyFill="1" applyBorder="1" applyAlignment="1" applyProtection="1">
      <alignment horizontal="center" vertical="center"/>
      <protection hidden="1"/>
    </xf>
    <xf numFmtId="0" fontId="9" fillId="0" borderId="23" xfId="0" applyFont="1" applyFill="1" applyBorder="1" applyAlignment="1" applyProtection="1">
      <alignment vertical="center"/>
      <protection hidden="1"/>
    </xf>
    <xf numFmtId="10" fontId="3" fillId="3" borderId="6" xfId="1" applyNumberFormat="1" applyFont="1" applyFill="1" applyBorder="1" applyAlignment="1" applyProtection="1">
      <alignment horizontal="center" vertical="center"/>
      <protection hidden="1"/>
    </xf>
    <xf numFmtId="0" fontId="9" fillId="0" borderId="18" xfId="0" applyFont="1" applyBorder="1" applyAlignment="1" applyProtection="1">
      <alignment vertical="center"/>
      <protection hidden="1"/>
    </xf>
    <xf numFmtId="9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46" fillId="12" borderId="46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left" indent="3"/>
      <protection hidden="1"/>
    </xf>
    <xf numFmtId="9" fontId="3" fillId="0" borderId="2" xfId="0" applyNumberFormat="1" applyFont="1" applyFill="1" applyBorder="1" applyAlignment="1" applyProtection="1">
      <alignment horizontal="center"/>
      <protection hidden="1"/>
    </xf>
    <xf numFmtId="0" fontId="45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39" fillId="4" borderId="0" xfId="0" applyFont="1" applyFill="1" applyAlignment="1" applyProtection="1">
      <alignment horizontal="center" vertical="top"/>
      <protection hidden="1"/>
    </xf>
    <xf numFmtId="3" fontId="6" fillId="0" borderId="42" xfId="1" applyNumberFormat="1" applyFont="1" applyFill="1" applyBorder="1" applyAlignment="1" applyProtection="1">
      <alignment horizontal="center" vertical="center"/>
      <protection hidden="1"/>
    </xf>
    <xf numFmtId="3" fontId="6" fillId="0" borderId="50" xfId="1" applyNumberFormat="1" applyFont="1" applyFill="1" applyBorder="1" applyAlignment="1" applyProtection="1">
      <alignment horizontal="center" vertical="center"/>
      <protection hidden="1"/>
    </xf>
    <xf numFmtId="4" fontId="6" fillId="0" borderId="42" xfId="1" applyNumberFormat="1" applyFont="1" applyFill="1" applyBorder="1" applyAlignment="1" applyProtection="1">
      <alignment horizontal="center" vertical="center"/>
      <protection hidden="1"/>
    </xf>
    <xf numFmtId="4" fontId="6" fillId="0" borderId="51" xfId="1" applyNumberFormat="1" applyFont="1" applyFill="1" applyBorder="1" applyAlignment="1" applyProtection="1">
      <alignment horizontal="center" vertical="center"/>
      <protection hidden="1"/>
    </xf>
    <xf numFmtId="1" fontId="7" fillId="12" borderId="48" xfId="0" applyNumberFormat="1" applyFon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vertical="center" wrapText="1"/>
      <protection hidden="1"/>
    </xf>
    <xf numFmtId="1" fontId="46" fillId="13" borderId="35" xfId="0" applyNumberFormat="1" applyFont="1" applyFill="1" applyBorder="1" applyAlignment="1" applyProtection="1">
      <alignment horizontal="center" vertical="center"/>
      <protection locked="0" hidden="1"/>
    </xf>
    <xf numFmtId="0" fontId="16" fillId="0" borderId="0" xfId="0" applyFont="1" applyAlignment="1">
      <alignment vertical="center"/>
    </xf>
    <xf numFmtId="0" fontId="57" fillId="0" borderId="0" xfId="0" applyFont="1" applyFill="1" applyBorder="1" applyAlignment="1" applyProtection="1">
      <alignment horizontal="left" vertical="center"/>
      <protection hidden="1"/>
    </xf>
    <xf numFmtId="0" fontId="14" fillId="0" borderId="24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18" xfId="2" applyFont="1" applyBorder="1" applyAlignment="1">
      <alignment horizontal="center" vertical="center"/>
    </xf>
    <xf numFmtId="4" fontId="22" fillId="11" borderId="18" xfId="6" applyNumberFormat="1" applyFont="1" applyFill="1" applyBorder="1" applyAlignment="1">
      <alignment horizontal="center" vertical="center"/>
    </xf>
    <xf numFmtId="0" fontId="58" fillId="0" borderId="0" xfId="8" applyFont="1" applyFill="1" applyBorder="1"/>
    <xf numFmtId="10" fontId="58" fillId="0" borderId="27" xfId="2" applyNumberFormat="1" applyFont="1" applyFill="1" applyBorder="1"/>
    <xf numFmtId="10" fontId="58" fillId="0" borderId="0" xfId="2" applyNumberFormat="1" applyFont="1" applyFill="1" applyBorder="1"/>
    <xf numFmtId="10" fontId="58" fillId="0" borderId="0" xfId="0" applyNumberFormat="1" applyFont="1"/>
    <xf numFmtId="3" fontId="58" fillId="0" borderId="27" xfId="2" applyNumberFormat="1" applyFont="1" applyFill="1" applyBorder="1"/>
    <xf numFmtId="3" fontId="58" fillId="0" borderId="0" xfId="2" applyNumberFormat="1" applyFont="1" applyFill="1" applyBorder="1"/>
    <xf numFmtId="0" fontId="58" fillId="0" borderId="18" xfId="0" applyFont="1" applyFill="1" applyBorder="1"/>
    <xf numFmtId="10" fontId="58" fillId="0" borderId="29" xfId="2" applyNumberFormat="1" applyFont="1" applyFill="1" applyBorder="1"/>
    <xf numFmtId="10" fontId="58" fillId="0" borderId="30" xfId="2" applyNumberFormat="1" applyFont="1" applyFill="1" applyBorder="1"/>
    <xf numFmtId="10" fontId="58" fillId="0" borderId="31" xfId="2" applyNumberFormat="1" applyFont="1" applyFill="1" applyBorder="1"/>
    <xf numFmtId="10" fontId="58" fillId="0" borderId="26" xfId="2" applyNumberFormat="1" applyFont="1" applyFill="1" applyBorder="1"/>
    <xf numFmtId="10" fontId="58" fillId="0" borderId="32" xfId="2" applyNumberFormat="1" applyFont="1" applyFill="1" applyBorder="1"/>
    <xf numFmtId="10" fontId="58" fillId="0" borderId="22" xfId="2" applyNumberFormat="1" applyFont="1" applyFill="1" applyBorder="1"/>
    <xf numFmtId="10" fontId="58" fillId="0" borderId="33" xfId="2" applyNumberFormat="1" applyFont="1" applyFill="1" applyBorder="1"/>
    <xf numFmtId="0" fontId="58" fillId="0" borderId="20" xfId="8" applyFont="1" applyFill="1" applyBorder="1"/>
    <xf numFmtId="0" fontId="0" fillId="0" borderId="0" xfId="0" applyAlignment="1">
      <alignment vertical="top"/>
    </xf>
    <xf numFmtId="0" fontId="59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horizontal="left" vertical="top"/>
      <protection hidden="1"/>
    </xf>
    <xf numFmtId="0" fontId="43" fillId="0" borderId="0" xfId="0" applyFont="1" applyAlignment="1" applyProtection="1">
      <alignment vertical="top"/>
      <protection hidden="1"/>
    </xf>
    <xf numFmtId="2" fontId="3" fillId="0" borderId="0" xfId="1" applyNumberFormat="1" applyFont="1" applyAlignment="1">
      <alignment vertical="top"/>
    </xf>
    <xf numFmtId="2" fontId="3" fillId="0" borderId="0" xfId="0" applyNumberFormat="1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56" fillId="0" borderId="0" xfId="0" applyFont="1" applyAlignment="1" applyProtection="1">
      <alignment horizontal="left" vertical="top"/>
      <protection hidden="1"/>
    </xf>
    <xf numFmtId="0" fontId="4" fillId="0" borderId="0" xfId="0" applyFont="1" applyAlignment="1">
      <alignment vertical="top"/>
    </xf>
    <xf numFmtId="0" fontId="2" fillId="0" borderId="19" xfId="2" applyBorder="1" applyAlignment="1">
      <alignment horizontal="center" vertical="center"/>
    </xf>
    <xf numFmtId="0" fontId="53" fillId="0" borderId="19" xfId="2" applyFont="1" applyBorder="1" applyAlignment="1">
      <alignment horizontal="center" vertical="center"/>
    </xf>
    <xf numFmtId="0" fontId="61" fillId="0" borderId="0" xfId="0" applyFont="1" applyAlignment="1" applyProtection="1">
      <alignment wrapText="1"/>
      <protection hidden="1"/>
    </xf>
    <xf numFmtId="0" fontId="62" fillId="0" borderId="0" xfId="0" applyFont="1" applyAlignment="1" applyProtection="1">
      <alignment wrapText="1"/>
      <protection hidden="1"/>
    </xf>
    <xf numFmtId="0" fontId="63" fillId="0" borderId="0" xfId="0" applyFont="1" applyAlignment="1">
      <alignment wrapText="1"/>
    </xf>
    <xf numFmtId="0" fontId="63" fillId="0" borderId="0" xfId="0" applyFont="1" applyAlignment="1" applyProtection="1">
      <alignment wrapText="1"/>
      <protection hidden="1"/>
    </xf>
    <xf numFmtId="0" fontId="62" fillId="0" borderId="0" xfId="0" applyFont="1" applyAlignment="1">
      <alignment wrapText="1"/>
    </xf>
    <xf numFmtId="0" fontId="61" fillId="0" borderId="0" xfId="0" applyFont="1" applyProtection="1">
      <protection hidden="1"/>
    </xf>
    <xf numFmtId="0" fontId="18" fillId="0" borderId="0" xfId="0" applyFont="1" applyFill="1" applyAlignment="1" applyProtection="1">
      <alignment horizontal="center"/>
      <protection locked="0" hidden="1"/>
    </xf>
    <xf numFmtId="4" fontId="3" fillId="0" borderId="0" xfId="0" applyNumberFormat="1" applyFont="1" applyProtection="1">
      <protection hidden="1"/>
    </xf>
    <xf numFmtId="0" fontId="64" fillId="0" borderId="0" xfId="0" applyFont="1" applyAlignment="1" applyProtection="1">
      <alignment vertical="center"/>
      <protection hidden="1"/>
    </xf>
    <xf numFmtId="0" fontId="65" fillId="0" borderId="0" xfId="0" applyFont="1" applyAlignment="1">
      <alignment vertical="center"/>
    </xf>
    <xf numFmtId="0" fontId="11" fillId="10" borderId="18" xfId="0" applyFont="1" applyFill="1" applyBorder="1" applyAlignment="1" applyProtection="1">
      <alignment horizontal="center" vertical="center" wrapText="1"/>
      <protection hidden="1"/>
    </xf>
    <xf numFmtId="0" fontId="7" fillId="0" borderId="22" xfId="0" applyFont="1" applyBorder="1" applyProtection="1">
      <protection hidden="1"/>
    </xf>
    <xf numFmtId="4" fontId="7" fillId="0" borderId="0" xfId="0" applyNumberFormat="1" applyFont="1" applyProtection="1">
      <protection hidden="1"/>
    </xf>
    <xf numFmtId="0" fontId="56" fillId="3" borderId="0" xfId="0" applyFont="1" applyFill="1" applyAlignment="1" applyProtection="1">
      <alignment horizontal="right" vertical="top"/>
      <protection hidden="1"/>
    </xf>
    <xf numFmtId="3" fontId="56" fillId="0" borderId="0" xfId="0" applyNumberFormat="1" applyFont="1" applyAlignment="1" applyProtection="1">
      <alignment vertical="top"/>
      <protection hidden="1"/>
    </xf>
    <xf numFmtId="0" fontId="66" fillId="0" borderId="0" xfId="0" applyFont="1" applyProtection="1">
      <protection hidden="1"/>
    </xf>
    <xf numFmtId="10" fontId="22" fillId="14" borderId="18" xfId="2" applyNumberFormat="1" applyFont="1" applyFill="1" applyBorder="1" applyAlignment="1">
      <alignment horizontal="center" vertical="center"/>
    </xf>
    <xf numFmtId="4" fontId="19" fillId="14" borderId="18" xfId="6" applyNumberFormat="1" applyFont="1" applyFill="1" applyBorder="1" applyAlignment="1">
      <alignment horizontal="center" vertical="center"/>
    </xf>
    <xf numFmtId="10" fontId="22" fillId="2" borderId="18" xfId="2" applyNumberFormat="1" applyFont="1" applyFill="1" applyBorder="1" applyAlignment="1">
      <alignment horizontal="center" vertical="center"/>
    </xf>
    <xf numFmtId="0" fontId="66" fillId="0" borderId="0" xfId="0" applyFont="1"/>
    <xf numFmtId="0" fontId="66" fillId="0" borderId="0" xfId="0" applyFont="1" applyAlignment="1" applyProtection="1">
      <alignment vertical="top"/>
      <protection hidden="1"/>
    </xf>
    <xf numFmtId="0" fontId="66" fillId="0" borderId="0" xfId="0" applyFont="1" applyAlignment="1">
      <alignment vertical="top"/>
    </xf>
    <xf numFmtId="0" fontId="67" fillId="0" borderId="0" xfId="0" applyFont="1" applyProtection="1">
      <protection hidden="1"/>
    </xf>
    <xf numFmtId="0" fontId="67" fillId="0" borderId="0" xfId="0" applyFont="1" applyAlignment="1" applyProtection="1">
      <alignment vertical="top"/>
      <protection hidden="1"/>
    </xf>
    <xf numFmtId="10" fontId="54" fillId="2" borderId="18" xfId="2" applyNumberFormat="1" applyFont="1" applyFill="1" applyBorder="1" applyAlignment="1">
      <alignment horizontal="center" vertical="center"/>
    </xf>
    <xf numFmtId="10" fontId="54" fillId="14" borderId="18" xfId="2" applyNumberFormat="1" applyFont="1" applyFill="1" applyBorder="1" applyAlignment="1">
      <alignment horizontal="center" vertical="center"/>
    </xf>
    <xf numFmtId="9" fontId="39" fillId="0" borderId="0" xfId="1" applyFont="1" applyFill="1" applyAlignment="1" applyProtection="1">
      <alignment horizontal="left" vertical="center"/>
      <protection hidden="1"/>
    </xf>
    <xf numFmtId="10" fontId="39" fillId="0" borderId="0" xfId="1" applyNumberFormat="1" applyFont="1" applyFill="1" applyAlignment="1" applyProtection="1">
      <alignment horizontal="left" vertical="center"/>
      <protection hidden="1"/>
    </xf>
    <xf numFmtId="0" fontId="68" fillId="8" borderId="18" xfId="0" applyFont="1" applyFill="1" applyBorder="1" applyAlignment="1">
      <alignment horizontal="center" vertical="center" wrapText="1"/>
    </xf>
    <xf numFmtId="0" fontId="68" fillId="9" borderId="18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9" fillId="9" borderId="18" xfId="0" applyFont="1" applyFill="1" applyBorder="1" applyAlignment="1">
      <alignment horizontal="center" vertical="center" wrapText="1"/>
    </xf>
    <xf numFmtId="0" fontId="70" fillId="0" borderId="18" xfId="0" applyFont="1" applyFill="1" applyBorder="1"/>
    <xf numFmtId="9" fontId="70" fillId="0" borderId="18" xfId="0" applyNumberFormat="1" applyFont="1" applyFill="1" applyBorder="1"/>
    <xf numFmtId="10" fontId="70" fillId="0" borderId="18" xfId="0" applyNumberFormat="1" applyFont="1" applyFill="1" applyBorder="1"/>
    <xf numFmtId="3" fontId="70" fillId="0" borderId="18" xfId="1" applyNumberFormat="1" applyFont="1" applyFill="1" applyBorder="1"/>
    <xf numFmtId="0" fontId="70" fillId="0" borderId="0" xfId="0" applyFont="1" applyFill="1"/>
    <xf numFmtId="0" fontId="71" fillId="0" borderId="18" xfId="0" applyFont="1" applyFill="1" applyBorder="1"/>
    <xf numFmtId="0" fontId="72" fillId="0" borderId="18" xfId="0" applyFont="1" applyFill="1" applyBorder="1"/>
    <xf numFmtId="0" fontId="73" fillId="0" borderId="18" xfId="0" applyFont="1" applyFill="1" applyBorder="1"/>
    <xf numFmtId="10" fontId="73" fillId="0" borderId="18" xfId="0" applyNumberFormat="1" applyFont="1" applyFill="1" applyBorder="1"/>
    <xf numFmtId="10" fontId="73" fillId="0" borderId="18" xfId="0" applyNumberFormat="1" applyFont="1" applyFill="1" applyBorder="1" applyAlignment="1">
      <alignment horizontal="center"/>
    </xf>
    <xf numFmtId="168" fontId="70" fillId="0" borderId="18" xfId="0" applyNumberFormat="1" applyFont="1" applyFill="1" applyBorder="1" applyAlignment="1">
      <alignment horizontal="center"/>
    </xf>
    <xf numFmtId="10" fontId="72" fillId="0" borderId="18" xfId="0" applyNumberFormat="1" applyFont="1" applyFill="1" applyBorder="1" applyAlignment="1">
      <alignment horizontal="center"/>
    </xf>
    <xf numFmtId="10" fontId="72" fillId="0" borderId="18" xfId="0" applyNumberFormat="1" applyFont="1" applyFill="1" applyBorder="1"/>
    <xf numFmtId="10" fontId="70" fillId="0" borderId="0" xfId="0" applyNumberFormat="1" applyFont="1" applyFill="1"/>
    <xf numFmtId="10" fontId="74" fillId="0" borderId="18" xfId="0" applyNumberFormat="1" applyFont="1" applyFill="1" applyBorder="1" applyAlignment="1">
      <alignment horizontal="center"/>
    </xf>
    <xf numFmtId="10" fontId="75" fillId="0" borderId="18" xfId="0" applyNumberFormat="1" applyFont="1" applyFill="1" applyBorder="1" applyAlignment="1">
      <alignment horizontal="center"/>
    </xf>
    <xf numFmtId="10" fontId="70" fillId="0" borderId="18" xfId="0" applyNumberFormat="1" applyFont="1" applyFill="1" applyBorder="1" applyAlignment="1">
      <alignment horizontal="center"/>
    </xf>
    <xf numFmtId="0" fontId="68" fillId="0" borderId="18" xfId="0" applyFont="1" applyFill="1" applyBorder="1"/>
    <xf numFmtId="10" fontId="71" fillId="0" borderId="18" xfId="0" applyNumberFormat="1" applyFont="1" applyFill="1" applyBorder="1"/>
    <xf numFmtId="9" fontId="73" fillId="0" borderId="18" xfId="0" applyNumberFormat="1" applyFont="1" applyFill="1" applyBorder="1"/>
    <xf numFmtId="3" fontId="73" fillId="0" borderId="18" xfId="1" applyNumberFormat="1" applyFont="1" applyFill="1" applyBorder="1"/>
    <xf numFmtId="0" fontId="76" fillId="0" borderId="18" xfId="0" applyFont="1" applyFill="1" applyBorder="1"/>
    <xf numFmtId="10" fontId="76" fillId="0" borderId="18" xfId="0" applyNumberFormat="1" applyFont="1" applyFill="1" applyBorder="1"/>
    <xf numFmtId="9" fontId="72" fillId="0" borderId="18" xfId="0" applyNumberFormat="1" applyFont="1" applyFill="1" applyBorder="1"/>
    <xf numFmtId="3" fontId="72" fillId="0" borderId="18" xfId="1" applyNumberFormat="1" applyFont="1" applyFill="1" applyBorder="1"/>
    <xf numFmtId="0" fontId="73" fillId="0" borderId="0" xfId="0" applyFont="1" applyFill="1"/>
    <xf numFmtId="0" fontId="73" fillId="0" borderId="19" xfId="0" applyFont="1" applyFill="1" applyBorder="1"/>
    <xf numFmtId="0" fontId="73" fillId="0" borderId="34" xfId="0" applyFont="1" applyFill="1" applyBorder="1"/>
    <xf numFmtId="10" fontId="77" fillId="0" borderId="18" xfId="0" applyNumberFormat="1" applyFont="1" applyFill="1" applyBorder="1" applyAlignment="1">
      <alignment horizontal="center"/>
    </xf>
    <xf numFmtId="10" fontId="71" fillId="0" borderId="18" xfId="0" applyNumberFormat="1" applyFont="1" applyFill="1" applyBorder="1" applyAlignment="1">
      <alignment horizontal="center"/>
    </xf>
    <xf numFmtId="9" fontId="70" fillId="0" borderId="18" xfId="1" applyFont="1" applyFill="1" applyBorder="1"/>
    <xf numFmtId="9" fontId="70" fillId="0" borderId="0" xfId="0" applyNumberFormat="1" applyFont="1" applyFill="1"/>
    <xf numFmtId="9" fontId="70" fillId="0" borderId="0" xfId="1" applyFont="1" applyFill="1"/>
    <xf numFmtId="3" fontId="70" fillId="0" borderId="0" xfId="1" applyNumberFormat="1" applyFont="1" applyFill="1"/>
    <xf numFmtId="164" fontId="7" fillId="0" borderId="0" xfId="0" applyNumberFormat="1" applyFont="1" applyAlignment="1" applyProtection="1">
      <alignment horizontal="left"/>
      <protection hidden="1"/>
    </xf>
    <xf numFmtId="0" fontId="18" fillId="0" borderId="0" xfId="0" applyFont="1" applyFill="1" applyAlignment="1" applyProtection="1">
      <alignment horizontal="center"/>
      <protection locked="0" hidden="1"/>
    </xf>
    <xf numFmtId="0" fontId="30" fillId="0" borderId="0" xfId="0" applyFont="1" applyFill="1" applyBorder="1"/>
    <xf numFmtId="3" fontId="42" fillId="0" borderId="22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8" fillId="0" borderId="0" xfId="0" applyFont="1" applyAlignment="1">
      <alignment wrapText="1"/>
    </xf>
    <xf numFmtId="3" fontId="7" fillId="0" borderId="0" xfId="0" applyNumberFormat="1" applyFont="1"/>
    <xf numFmtId="3" fontId="79" fillId="0" borderId="0" xfId="0" applyNumberFormat="1" applyFont="1" applyBorder="1" applyAlignment="1" applyProtection="1">
      <alignment horizontal="left" vertical="center" wrapText="1"/>
      <protection hidden="1"/>
    </xf>
    <xf numFmtId="0" fontId="66" fillId="3" borderId="0" xfId="0" applyFont="1" applyFill="1" applyProtection="1">
      <protection hidden="1"/>
    </xf>
    <xf numFmtId="0" fontId="18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80" fillId="3" borderId="0" xfId="0" applyFont="1" applyFill="1" applyProtection="1">
      <protection hidden="1"/>
    </xf>
    <xf numFmtId="0" fontId="80" fillId="3" borderId="0" xfId="0" applyFont="1" applyFill="1" applyAlignment="1" applyProtection="1">
      <alignment vertical="top"/>
      <protection hidden="1"/>
    </xf>
    <xf numFmtId="0" fontId="18" fillId="3" borderId="0" xfId="0" applyFont="1" applyFill="1" applyAlignment="1" applyProtection="1">
      <alignment vertical="top"/>
      <protection hidden="1"/>
    </xf>
    <xf numFmtId="0" fontId="18" fillId="3" borderId="0" xfId="0" applyFont="1" applyFill="1" applyAlignment="1" applyProtection="1">
      <alignment horizontal="left" vertical="top"/>
      <protection hidden="1"/>
    </xf>
    <xf numFmtId="0" fontId="18" fillId="3" borderId="0" xfId="0" applyFont="1" applyFill="1" applyBorder="1" applyAlignment="1" applyProtection="1">
      <alignment horizontal="right" vertical="center"/>
      <protection hidden="1"/>
    </xf>
    <xf numFmtId="10" fontId="39" fillId="3" borderId="0" xfId="1" applyNumberFormat="1" applyFont="1" applyFill="1" applyBorder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right" vertical="center"/>
      <protection hidden="1"/>
    </xf>
    <xf numFmtId="0" fontId="18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left" vertical="center" wrapText="1"/>
      <protection hidden="1"/>
    </xf>
    <xf numFmtId="10" fontId="18" fillId="3" borderId="0" xfId="1" applyNumberFormat="1" applyFont="1" applyFill="1" applyAlignment="1" applyProtection="1">
      <alignment horizontal="left" vertical="center"/>
      <protection hidden="1"/>
    </xf>
    <xf numFmtId="4" fontId="18" fillId="0" borderId="0" xfId="0" applyNumberFormat="1" applyFont="1" applyAlignment="1" applyProtection="1">
      <alignment horizontal="left" vertical="center"/>
      <protection hidden="1"/>
    </xf>
    <xf numFmtId="0" fontId="81" fillId="3" borderId="0" xfId="0" applyFont="1" applyFill="1" applyAlignment="1" applyProtection="1">
      <alignment horizontal="right" vertical="center"/>
      <protection hidden="1"/>
    </xf>
    <xf numFmtId="168" fontId="81" fillId="3" borderId="0" xfId="1" applyNumberFormat="1" applyFont="1" applyFill="1" applyAlignment="1" applyProtection="1">
      <alignment horizontal="left" vertical="center"/>
      <protection hidden="1"/>
    </xf>
    <xf numFmtId="165" fontId="18" fillId="3" borderId="0" xfId="4" applyFont="1" applyFill="1" applyAlignment="1" applyProtection="1">
      <alignment horizontal="right" vertical="center"/>
      <protection hidden="1"/>
    </xf>
    <xf numFmtId="10" fontId="18" fillId="0" borderId="0" xfId="1" applyNumberFormat="1" applyFont="1" applyAlignment="1" applyProtection="1">
      <alignment horizontal="left"/>
      <protection hidden="1"/>
    </xf>
    <xf numFmtId="9" fontId="18" fillId="0" borderId="0" xfId="0" applyNumberFormat="1" applyFont="1" applyAlignment="1" applyProtection="1">
      <alignment horizontal="left"/>
      <protection hidden="1"/>
    </xf>
    <xf numFmtId="0" fontId="18" fillId="3" borderId="0" xfId="0" applyFont="1" applyFill="1" applyBorder="1" applyAlignment="1" applyProtection="1">
      <alignment horizontal="left" vertical="center"/>
      <protection hidden="1"/>
    </xf>
    <xf numFmtId="3" fontId="18" fillId="0" borderId="0" xfId="0" applyNumberFormat="1" applyFont="1" applyAlignment="1" applyProtection="1">
      <alignment horizontal="left"/>
      <protection hidden="1"/>
    </xf>
    <xf numFmtId="2" fontId="18" fillId="3" borderId="0" xfId="0" applyNumberFormat="1" applyFont="1" applyFill="1" applyAlignment="1" applyProtection="1">
      <alignment horizontal="left" vertical="center"/>
      <protection hidden="1"/>
    </xf>
    <xf numFmtId="2" fontId="18" fillId="3" borderId="0" xfId="0" applyNumberFormat="1" applyFont="1" applyFill="1" applyBorder="1" applyAlignment="1" applyProtection="1">
      <alignment horizontal="left" vertical="center"/>
      <protection hidden="1"/>
    </xf>
    <xf numFmtId="164" fontId="18" fillId="0" borderId="0" xfId="0" applyNumberFormat="1" applyFont="1" applyAlignment="1" applyProtection="1">
      <alignment horizontal="left"/>
      <protection hidden="1"/>
    </xf>
    <xf numFmtId="165" fontId="18" fillId="0" borderId="0" xfId="4" applyFont="1" applyProtection="1">
      <protection hidden="1"/>
    </xf>
    <xf numFmtId="0" fontId="18" fillId="3" borderId="0" xfId="0" applyFont="1" applyFill="1" applyAlignment="1">
      <alignment horizontal="right" vertical="center"/>
    </xf>
    <xf numFmtId="165" fontId="18" fillId="3" borderId="0" xfId="4" applyFont="1" applyFill="1" applyAlignment="1">
      <alignment horizontal="right" vertical="center"/>
    </xf>
    <xf numFmtId="0" fontId="18" fillId="3" borderId="0" xfId="0" applyFont="1" applyFill="1" applyAlignment="1">
      <alignment horizontal="left" vertical="center"/>
    </xf>
    <xf numFmtId="0" fontId="18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79" fillId="3" borderId="0" xfId="0" applyFont="1" applyFill="1" applyProtection="1">
      <protection hidden="1"/>
    </xf>
    <xf numFmtId="0" fontId="56" fillId="3" borderId="0" xfId="0" applyFont="1" applyFill="1" applyAlignment="1" applyProtection="1">
      <alignment horizontal="right"/>
      <protection hidden="1"/>
    </xf>
    <xf numFmtId="0" fontId="56" fillId="3" borderId="0" xfId="0" applyFont="1" applyFill="1" applyAlignment="1">
      <alignment horizontal="right"/>
    </xf>
    <xf numFmtId="0" fontId="79" fillId="3" borderId="0" xfId="0" applyFont="1" applyFill="1"/>
    <xf numFmtId="0" fontId="16" fillId="0" borderId="0" xfId="0" applyFont="1" applyAlignment="1" applyProtection="1">
      <alignment horizontal="left"/>
      <protection hidden="1"/>
    </xf>
    <xf numFmtId="0" fontId="18" fillId="3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79" fillId="3" borderId="0" xfId="0" applyFont="1" applyFill="1" applyAlignment="1" applyProtection="1">
      <alignment wrapText="1"/>
      <protection hidden="1"/>
    </xf>
    <xf numFmtId="0" fontId="56" fillId="3" borderId="0" xfId="0" applyFont="1" applyFill="1" applyAlignment="1" applyProtection="1">
      <alignment horizontal="center" vertical="center" wrapText="1"/>
      <protection hidden="1"/>
    </xf>
    <xf numFmtId="165" fontId="18" fillId="3" borderId="0" xfId="4" applyFont="1" applyFill="1" applyAlignment="1">
      <alignment horizontal="right"/>
    </xf>
    <xf numFmtId="0" fontId="18" fillId="3" borderId="0" xfId="0" applyFont="1" applyFill="1" applyBorder="1" applyAlignment="1" applyProtection="1">
      <alignment horizontal="left"/>
      <protection hidden="1"/>
    </xf>
    <xf numFmtId="0" fontId="79" fillId="3" borderId="0" xfId="0" applyFont="1" applyFill="1" applyAlignment="1" applyProtection="1">
      <alignment horizontal="right"/>
      <protection hidden="1"/>
    </xf>
    <xf numFmtId="3" fontId="79" fillId="3" borderId="0" xfId="0" applyNumberFormat="1" applyFont="1" applyFill="1" applyProtection="1">
      <protection hidden="1"/>
    </xf>
    <xf numFmtId="3" fontId="79" fillId="3" borderId="0" xfId="0" applyNumberFormat="1" applyFont="1" applyFill="1" applyAlignment="1" applyProtection="1">
      <alignment horizontal="center"/>
      <protection hidden="1"/>
    </xf>
    <xf numFmtId="3" fontId="79" fillId="3" borderId="0" xfId="0" applyNumberFormat="1" applyFont="1" applyFill="1" applyAlignment="1">
      <alignment horizontal="center"/>
    </xf>
    <xf numFmtId="10" fontId="16" fillId="0" borderId="0" xfId="1" applyNumberFormat="1" applyFont="1" applyAlignment="1" applyProtection="1">
      <alignment horizontal="left"/>
      <protection hidden="1"/>
    </xf>
    <xf numFmtId="10" fontId="16" fillId="0" borderId="0" xfId="0" applyNumberFormat="1" applyFont="1" applyAlignment="1" applyProtection="1">
      <alignment horizontal="left"/>
      <protection hidden="1"/>
    </xf>
    <xf numFmtId="0" fontId="16" fillId="0" borderId="0" xfId="0" applyFont="1" applyAlignment="1" applyProtection="1">
      <protection hidden="1"/>
    </xf>
    <xf numFmtId="1" fontId="18" fillId="3" borderId="0" xfId="0" applyNumberFormat="1" applyFont="1" applyFill="1" applyAlignment="1" applyProtection="1">
      <alignment horizontal="left" vertical="center"/>
      <protection hidden="1"/>
    </xf>
    <xf numFmtId="10" fontId="79" fillId="3" borderId="0" xfId="0" applyNumberFormat="1" applyFont="1" applyFill="1" applyAlignment="1" applyProtection="1">
      <alignment horizontal="right"/>
      <protection hidden="1"/>
    </xf>
    <xf numFmtId="10" fontId="79" fillId="3" borderId="0" xfId="0" applyNumberFormat="1" applyFont="1" applyFill="1" applyAlignment="1" applyProtection="1">
      <alignment horizontal="left"/>
      <protection hidden="1"/>
    </xf>
    <xf numFmtId="0" fontId="79" fillId="0" borderId="0" xfId="0" applyFont="1"/>
    <xf numFmtId="0" fontId="16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>
      <alignment horizontal="right"/>
    </xf>
    <xf numFmtId="3" fontId="18" fillId="0" borderId="0" xfId="0" applyNumberFormat="1" applyFont="1" applyAlignment="1">
      <alignment horizontal="left"/>
    </xf>
    <xf numFmtId="0" fontId="56" fillId="3" borderId="0" xfId="0" applyFont="1" applyFill="1" applyProtection="1">
      <protection hidden="1"/>
    </xf>
    <xf numFmtId="0" fontId="56" fillId="0" borderId="0" xfId="0" applyFont="1"/>
    <xf numFmtId="0" fontId="16" fillId="0" borderId="0" xfId="0" applyFont="1" applyAlignment="1"/>
    <xf numFmtId="3" fontId="56" fillId="3" borderId="0" xfId="0" applyNumberFormat="1" applyFont="1" applyFill="1" applyProtection="1">
      <protection hidden="1"/>
    </xf>
    <xf numFmtId="0" fontId="39" fillId="0" borderId="0" xfId="0" applyFont="1"/>
    <xf numFmtId="0" fontId="16" fillId="0" borderId="0" xfId="0" applyFont="1" applyFill="1" applyBorder="1" applyAlignment="1" applyProtection="1">
      <alignment horizontal="left" vertical="center"/>
      <protection hidden="1"/>
    </xf>
    <xf numFmtId="0" fontId="39" fillId="0" borderId="0" xfId="0" applyFont="1" applyProtection="1">
      <protection hidden="1"/>
    </xf>
    <xf numFmtId="0" fontId="79" fillId="0" borderId="0" xfId="0" applyFont="1" applyProtection="1">
      <protection hidden="1"/>
    </xf>
    <xf numFmtId="0" fontId="79" fillId="0" borderId="0" xfId="0" applyFont="1" applyAlignment="1" applyProtection="1">
      <alignment horizontal="right" vertical="center"/>
      <protection hidden="1"/>
    </xf>
    <xf numFmtId="9" fontId="16" fillId="0" borderId="0" xfId="1" applyFont="1" applyAlignment="1" applyProtection="1">
      <alignment horizontal="center"/>
      <protection hidden="1"/>
    </xf>
    <xf numFmtId="3" fontId="56" fillId="0" borderId="0" xfId="0" applyNumberFormat="1" applyFont="1" applyProtection="1">
      <protection hidden="1"/>
    </xf>
    <xf numFmtId="0" fontId="18" fillId="0" borderId="0" xfId="0" applyFont="1" applyAlignment="1" applyProtection="1">
      <alignment vertical="top"/>
      <protection hidden="1"/>
    </xf>
    <xf numFmtId="0" fontId="18" fillId="3" borderId="0" xfId="0" applyFont="1" applyFill="1"/>
    <xf numFmtId="0" fontId="79" fillId="3" borderId="0" xfId="0" applyFont="1" applyFill="1" applyAlignment="1">
      <alignment horizontal="right" vertical="center"/>
    </xf>
    <xf numFmtId="0" fontId="79" fillId="3" borderId="0" xfId="0" applyFont="1" applyFill="1" applyAlignment="1">
      <alignment wrapText="1"/>
    </xf>
    <xf numFmtId="0" fontId="78" fillId="3" borderId="0" xfId="0" applyFont="1" applyFill="1" applyAlignment="1">
      <alignment wrapText="1"/>
    </xf>
    <xf numFmtId="9" fontId="18" fillId="0" borderId="0" xfId="1" applyFont="1" applyAlignment="1" applyProtection="1">
      <alignment horizontal="left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vertical="top"/>
      <protection hidden="1"/>
    </xf>
    <xf numFmtId="10" fontId="67" fillId="0" borderId="0" xfId="0" applyNumberFormat="1" applyFont="1" applyProtection="1">
      <protection hidden="1"/>
    </xf>
    <xf numFmtId="0" fontId="82" fillId="3" borderId="0" xfId="0" applyFont="1" applyFill="1" applyAlignment="1" applyProtection="1">
      <alignment vertical="center"/>
      <protection hidden="1"/>
    </xf>
    <xf numFmtId="2" fontId="7" fillId="3" borderId="0" xfId="0" applyNumberFormat="1" applyFont="1" applyFill="1" applyProtection="1">
      <protection hidden="1"/>
    </xf>
    <xf numFmtId="0" fontId="7" fillId="3" borderId="0" xfId="0" applyFont="1" applyFill="1" applyAlignment="1" applyProtection="1">
      <alignment vertical="center"/>
      <protection hidden="1"/>
    </xf>
    <xf numFmtId="10" fontId="11" fillId="9" borderId="18" xfId="2" applyNumberFormat="1" applyFont="1" applyFill="1" applyBorder="1" applyAlignment="1">
      <alignment horizontal="center" vertical="center"/>
    </xf>
    <xf numFmtId="3" fontId="11" fillId="9" borderId="18" xfId="8" applyNumberFormat="1" applyFont="1" applyFill="1" applyBorder="1" applyAlignment="1">
      <alignment horizontal="center" vertical="center"/>
    </xf>
    <xf numFmtId="10" fontId="11" fillId="9" borderId="18" xfId="8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 applyProtection="1">
      <alignment horizontal="left" vertical="center" wrapText="1" indent="3"/>
      <protection hidden="1"/>
    </xf>
    <xf numFmtId="0" fontId="6" fillId="0" borderId="52" xfId="0" applyFont="1" applyFill="1" applyBorder="1" applyAlignment="1" applyProtection="1">
      <alignment horizontal="left" vertical="center" wrapText="1" indent="3"/>
      <protection hidden="1"/>
    </xf>
    <xf numFmtId="0" fontId="6" fillId="0" borderId="49" xfId="0" applyFont="1" applyFill="1" applyBorder="1" applyAlignment="1" applyProtection="1">
      <alignment horizontal="left" vertical="center" wrapText="1" indent="3"/>
      <protection hidden="1"/>
    </xf>
    <xf numFmtId="0" fontId="6" fillId="0" borderId="53" xfId="0" applyFont="1" applyFill="1" applyBorder="1" applyAlignment="1" applyProtection="1">
      <alignment horizontal="left" vertical="center" wrapText="1" indent="3"/>
      <protection hidden="1"/>
    </xf>
    <xf numFmtId="0" fontId="6" fillId="0" borderId="32" xfId="0" applyFont="1" applyFill="1" applyBorder="1" applyAlignment="1" applyProtection="1">
      <alignment horizontal="left" vertical="center" wrapText="1" indent="3"/>
      <protection hidden="1"/>
    </xf>
    <xf numFmtId="0" fontId="6" fillId="0" borderId="36" xfId="0" applyFont="1" applyFill="1" applyBorder="1" applyAlignment="1" applyProtection="1">
      <alignment horizontal="left" vertical="center" wrapText="1" indent="3"/>
      <protection hidden="1"/>
    </xf>
    <xf numFmtId="0" fontId="9" fillId="0" borderId="1" xfId="0" applyFont="1" applyFill="1" applyBorder="1" applyAlignment="1" applyProtection="1">
      <alignment vertical="center" wrapText="1"/>
      <protection hidden="1"/>
    </xf>
    <xf numFmtId="0" fontId="13" fillId="0" borderId="2" xfId="0" applyFont="1" applyBorder="1" applyAlignment="1" applyProtection="1">
      <alignment vertical="center" wrapText="1"/>
      <protection hidden="1"/>
    </xf>
    <xf numFmtId="0" fontId="13" fillId="0" borderId="3" xfId="0" applyFont="1" applyBorder="1" applyAlignment="1" applyProtection="1">
      <alignment vertical="center" wrapText="1"/>
      <protection hidden="1"/>
    </xf>
    <xf numFmtId="0" fontId="48" fillId="0" borderId="0" xfId="0" applyFont="1" applyAlignment="1">
      <alignment horizontal="left" vertical="center" wrapText="1"/>
    </xf>
    <xf numFmtId="3" fontId="3" fillId="13" borderId="19" xfId="0" applyNumberFormat="1" applyFont="1" applyFill="1" applyBorder="1" applyAlignment="1">
      <alignment horizontal="center" vertical="center"/>
    </xf>
    <xf numFmtId="3" fontId="3" fillId="13" borderId="20" xfId="0" applyNumberFormat="1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38" xfId="0" applyFont="1" applyFill="1" applyBorder="1" applyAlignment="1">
      <alignment horizontal="center" vertical="center"/>
    </xf>
    <xf numFmtId="0" fontId="3" fillId="13" borderId="39" xfId="0" applyFont="1" applyFill="1" applyBorder="1" applyAlignment="1">
      <alignment horizontal="center" vertical="center"/>
    </xf>
    <xf numFmtId="0" fontId="47" fillId="13" borderId="39" xfId="0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Fill="1" applyAlignment="1" applyProtection="1">
      <alignment horizontal="center"/>
      <protection locked="0" hidden="1"/>
    </xf>
    <xf numFmtId="168" fontId="7" fillId="13" borderId="40" xfId="1" applyNumberFormat="1" applyFont="1" applyFill="1" applyBorder="1" applyAlignment="1" applyProtection="1">
      <alignment horizontal="center" vertical="center"/>
      <protection locked="0" hidden="1"/>
    </xf>
    <xf numFmtId="0" fontId="0" fillId="13" borderId="39" xfId="0" applyFont="1" applyFill="1" applyBorder="1" applyAlignment="1">
      <alignment horizontal="center" vertical="center"/>
    </xf>
    <xf numFmtId="0" fontId="0" fillId="13" borderId="39" xfId="0" applyFont="1" applyFill="1" applyBorder="1" applyAlignment="1" applyProtection="1">
      <alignment horizontal="center" vertical="center"/>
      <protection hidden="1"/>
    </xf>
    <xf numFmtId="10" fontId="0" fillId="13" borderId="39" xfId="1" applyNumberFormat="1" applyFont="1" applyFill="1" applyBorder="1" applyAlignment="1" applyProtection="1">
      <alignment horizontal="center" vertical="center"/>
      <protection locked="0" hidden="1"/>
    </xf>
    <xf numFmtId="0" fontId="0" fillId="13" borderId="40" xfId="0" applyFont="1" applyFill="1" applyBorder="1" applyAlignment="1" applyProtection="1">
      <alignment horizontal="center" vertical="center"/>
      <protection hidden="1"/>
    </xf>
    <xf numFmtId="10" fontId="0" fillId="13" borderId="39" xfId="1" applyNumberFormat="1" applyFont="1" applyFill="1" applyBorder="1" applyAlignment="1" applyProtection="1">
      <alignment horizontal="center" vertical="center"/>
      <protection hidden="1"/>
    </xf>
    <xf numFmtId="0" fontId="0" fillId="13" borderId="38" xfId="0" applyFont="1" applyFill="1" applyBorder="1" applyAlignment="1" applyProtection="1">
      <alignment horizontal="center" vertical="center"/>
      <protection hidden="1"/>
    </xf>
    <xf numFmtId="3" fontId="0" fillId="13" borderId="39" xfId="0" applyNumberFormat="1" applyFont="1" applyFill="1" applyBorder="1" applyAlignment="1" applyProtection="1">
      <alignment horizontal="center" vertical="center"/>
      <protection hidden="1"/>
    </xf>
    <xf numFmtId="10" fontId="0" fillId="3" borderId="39" xfId="1" applyNumberFormat="1" applyFont="1" applyFill="1" applyBorder="1" applyAlignment="1" applyProtection="1">
      <alignment horizontal="center" vertical="center"/>
      <protection hidden="1"/>
    </xf>
    <xf numFmtId="0" fontId="11" fillId="10" borderId="18" xfId="0" applyFont="1" applyFill="1" applyBorder="1" applyAlignment="1" applyProtection="1">
      <alignment horizontal="center" vertical="center" wrapText="1"/>
      <protection hidden="1"/>
    </xf>
    <xf numFmtId="0" fontId="11" fillId="10" borderId="19" xfId="0" applyFont="1" applyFill="1" applyBorder="1" applyAlignment="1" applyProtection="1">
      <alignment horizontal="center" vertical="center" wrapText="1"/>
      <protection hidden="1"/>
    </xf>
    <xf numFmtId="0" fontId="11" fillId="10" borderId="21" xfId="0" applyFont="1" applyFill="1" applyBorder="1" applyAlignment="1" applyProtection="1">
      <alignment horizontal="center" vertical="center" wrapText="1"/>
      <protection hidden="1"/>
    </xf>
    <xf numFmtId="0" fontId="11" fillId="10" borderId="23" xfId="0" applyFont="1" applyFill="1" applyBorder="1" applyAlignment="1" applyProtection="1">
      <alignment horizontal="center" vertical="center" wrapText="1"/>
      <protection hidden="1"/>
    </xf>
    <xf numFmtId="0" fontId="11" fillId="10" borderId="24" xfId="0" applyFont="1" applyFill="1" applyBorder="1" applyAlignment="1" applyProtection="1">
      <alignment horizontal="center" vertical="center" wrapText="1"/>
      <protection hidden="1"/>
    </xf>
    <xf numFmtId="0" fontId="7" fillId="13" borderId="39" xfId="0" applyFont="1" applyFill="1" applyBorder="1" applyAlignment="1">
      <alignment horizontal="center" vertical="center"/>
    </xf>
    <xf numFmtId="0" fontId="7" fillId="13" borderId="40" xfId="0" applyFont="1" applyFill="1" applyBorder="1" applyAlignment="1">
      <alignment horizontal="center" vertical="center"/>
    </xf>
    <xf numFmtId="0" fontId="7" fillId="13" borderId="38" xfId="0" applyFont="1" applyFill="1" applyBorder="1" applyAlignment="1">
      <alignment horizontal="center" vertical="center"/>
    </xf>
    <xf numFmtId="3" fontId="7" fillId="13" borderId="39" xfId="0" applyNumberFormat="1" applyFont="1" applyFill="1" applyBorder="1" applyAlignment="1">
      <alignment horizontal="center" vertical="center"/>
    </xf>
    <xf numFmtId="10" fontId="7" fillId="3" borderId="39" xfId="1" applyNumberFormat="1" applyFont="1" applyFill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</cellXfs>
  <cellStyles count="10">
    <cellStyle name="Normal 2" xfId="3"/>
    <cellStyle name="Обычный" xfId="0" builtinId="0"/>
    <cellStyle name="Обычный 2" xfId="2"/>
    <cellStyle name="Обычный 2 2" xfId="8"/>
    <cellStyle name="Обычный 3" xfId="5"/>
    <cellStyle name="Процентный" xfId="1" builtinId="5"/>
    <cellStyle name="Процентный 2" xfId="6"/>
    <cellStyle name="Процентный 3" xfId="9"/>
    <cellStyle name="Финансовый" xfId="4" builtinId="3"/>
    <cellStyle name="Финансовый 2" xfId="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border>
        <top style="thin">
          <color auto="1"/>
        </top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ont>
        <b/>
        <i val="0"/>
        <color rgb="FFFF0000"/>
      </font>
    </dxf>
    <dxf>
      <font>
        <b val="0"/>
        <i val="0"/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 val="0"/>
        <i val="0"/>
        <color theme="0"/>
      </font>
      <fill>
        <patternFill>
          <bgColor theme="0"/>
        </patternFill>
      </fill>
    </dxf>
    <dxf>
      <font>
        <b/>
        <i val="0"/>
        <color rgb="FFFF000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</dxf>
    <dxf>
      <font>
        <b/>
        <i val="0"/>
        <color rgb="FFFF0000"/>
      </font>
    </dxf>
    <dxf>
      <font>
        <color rgb="FFC00000"/>
      </font>
    </dxf>
  </dxfs>
  <tableStyles count="0" defaultTableStyle="TableStyleMedium2" defaultPivotStyle="PivotStyleLight16"/>
  <colors>
    <mruColors>
      <color rgb="FFBFBFBF"/>
      <color rgb="FFFFB7BE"/>
      <color rgb="FFDC323C"/>
      <color rgb="FFFC5055"/>
      <color rgb="FFFFB9BE"/>
      <color rgb="FF004BC4"/>
      <color rgb="FFFE98A2"/>
      <color rgb="FFFF9BA5"/>
      <color rgb="FFFFC5CB"/>
      <color rgb="FFFF9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CheckBox" fmlaLink="$J$29" lockText="1" noThreeD="1"/>
</file>

<file path=xl/ctrlProps/ctrlProp3.xml><?xml version="1.0" encoding="utf-8"?>
<formControlPr xmlns="http://schemas.microsoft.com/office/spreadsheetml/2009/9/main" objectType="CheckBox" fmlaLink="$J$22" lockText="1" noThreeD="1"/>
</file>

<file path=xl/ctrlProps/ctrlProp4.xml><?xml version="1.0" encoding="utf-8"?>
<formControlPr xmlns="http://schemas.microsoft.com/office/spreadsheetml/2009/9/main" objectType="CheckBox" fmlaLink="$J$34" lockText="1" noThreeD="1"/>
</file>

<file path=xl/ctrlProps/ctrlProp5.xml><?xml version="1.0" encoding="utf-8"?>
<formControlPr xmlns="http://schemas.microsoft.com/office/spreadsheetml/2009/9/main" objectType="CheckBox" fmlaLink="$J$27" lockText="1" noThreeD="1"/>
</file>

<file path=xl/ctrlProps/ctrlProp6.xml><?xml version="1.0" encoding="utf-8"?>
<formControlPr xmlns="http://schemas.microsoft.com/office/spreadsheetml/2009/9/main" objectType="CheckBox" fmlaLink="$J$24" lockText="1" noThreeD="1"/>
</file>

<file path=xl/ctrlProps/ctrlProp7.xml><?xml version="1.0" encoding="utf-8"?>
<formControlPr xmlns="http://schemas.microsoft.com/office/spreadsheetml/2009/9/main" objectType="CheckBox" fmlaLink="$C$7" lockText="1" noThreeD="1"/>
</file>

<file path=xl/ctrlProps/ctrlProp8.xml><?xml version="1.0" encoding="utf-8"?>
<formControlPr xmlns="http://schemas.microsoft.com/office/spreadsheetml/2009/9/main" objectType="CheckBox" fmlaLink="$C$6" lockText="1" noThreeD="1"/>
</file>

<file path=xl/ctrlProps/ctrlProp9.xml><?xml version="1.0" encoding="utf-8"?>
<formControlPr xmlns="http://schemas.microsoft.com/office/spreadsheetml/2009/9/main" objectType="CheckBox" checked="Checked" fmlaLink="$C$9" lockText="1" noThreeD="1"/>
</file>

<file path=xl/ctrlProps/ctrlProp10.xml><?xml version="1.0" encoding="utf-8"?>
<formControlPr xmlns="http://schemas.microsoft.com/office/spreadsheetml/2009/9/main" objectType="CheckBox" fmlaLink="$C$10" lockText="1" noThreeD="1"/>
</file>

<file path=xl/ctrlProps/ctrlProp11.xml><?xml version="1.0" encoding="utf-8"?>
<formControlPr xmlns="http://schemas.microsoft.com/office/spreadsheetml/2009/9/main" objectType="CheckBox" fmlaLink="$C$16" lockText="1" noThreeD="1"/>
</file>

<file path=xl/ctrlProps/ctrlProp12.xml><?xml version="1.0" encoding="utf-8"?>
<formControlPr xmlns="http://schemas.microsoft.com/office/spreadsheetml/2009/9/main" objectType="CheckBox" fmlaLink="$C$13" lockText="1" noThreeD="1"/>
</file>

<file path=xl/ctrlProps/ctrlProp13.xml><?xml version="1.0" encoding="utf-8"?>
<formControlPr xmlns="http://schemas.microsoft.com/office/spreadsheetml/2009/9/main" objectType="CheckBox" fmlaLink="$C$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9B9AA.234B5A2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190500</xdr:colOff>
      <xdr:row>11</xdr:row>
      <xdr:rowOff>123825</xdr:rowOff>
    </xdr:to>
    <xdr:pic>
      <xdr:nvPicPr>
        <xdr:cNvPr id="3" name="Рисунок 2" descr="cid:image003.jpg@01D9B9AA.234B5A2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24050"/>
          <a:ext cx="58959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0</xdr:row>
          <xdr:rowOff>180975</xdr:rowOff>
        </xdr:from>
        <xdr:to>
          <xdr:col>4</xdr:col>
          <xdr:colOff>1333500</xdr:colOff>
          <xdr:row>3</xdr:row>
          <xdr:rowOff>47625</xdr:rowOff>
        </xdr:to>
        <xdr:sp macro="" textlink="">
          <xdr:nvSpPr>
            <xdr:cNvPr id="30721" name="Кнопка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Сформировать калькулятор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73960</xdr:colOff>
      <xdr:row>0</xdr:row>
      <xdr:rowOff>9525</xdr:rowOff>
    </xdr:from>
    <xdr:to>
      <xdr:col>3</xdr:col>
      <xdr:colOff>1202034</xdr:colOff>
      <xdr:row>1</xdr:row>
      <xdr:rowOff>100965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0" y="9525"/>
          <a:ext cx="3328349" cy="7962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1076325</xdr:colOff>
          <xdr:row>27</xdr:row>
          <xdr:rowOff>180975</xdr:rowOff>
        </xdr:from>
        <xdr:to>
          <xdr:col>9</xdr:col>
          <xdr:colOff>1609725</xdr:colOff>
          <xdr:row>29</xdr:row>
          <xdr:rowOff>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1076325</xdr:colOff>
          <xdr:row>21</xdr:row>
          <xdr:rowOff>0</xdr:rowOff>
        </xdr:from>
        <xdr:to>
          <xdr:col>9</xdr:col>
          <xdr:colOff>1609725</xdr:colOff>
          <xdr:row>21</xdr:row>
          <xdr:rowOff>180975</xdr:rowOff>
        </xdr:to>
        <xdr:sp macro="" textlink="">
          <xdr:nvSpPr>
            <xdr:cNvPr id="1769" name="Check Box 745" descr="&#10;" hidden="1">
              <a:extLst>
                <a:ext uri="{63B3BB69-23CF-44E3-9099-C40C66FF867C}">
                  <a14:compatExt spid="_x0000_s1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1076325</xdr:colOff>
          <xdr:row>33</xdr:row>
          <xdr:rowOff>19050</xdr:rowOff>
        </xdr:from>
        <xdr:to>
          <xdr:col>9</xdr:col>
          <xdr:colOff>1609725</xdr:colOff>
          <xdr:row>34</xdr:row>
          <xdr:rowOff>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1076325</xdr:colOff>
          <xdr:row>26</xdr:row>
          <xdr:rowOff>9525</xdr:rowOff>
        </xdr:from>
        <xdr:to>
          <xdr:col>9</xdr:col>
          <xdr:colOff>1609725</xdr:colOff>
          <xdr:row>27</xdr:row>
          <xdr:rowOff>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1085850</xdr:colOff>
          <xdr:row>23</xdr:row>
          <xdr:rowOff>9525</xdr:rowOff>
        </xdr:from>
        <xdr:to>
          <xdr:col>9</xdr:col>
          <xdr:colOff>1619250</xdr:colOff>
          <xdr:row>23</xdr:row>
          <xdr:rowOff>171450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6</xdr:row>
          <xdr:rowOff>9525</xdr:rowOff>
        </xdr:from>
        <xdr:to>
          <xdr:col>3</xdr:col>
          <xdr:colOff>9525</xdr:colOff>
          <xdr:row>7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1123950</xdr:colOff>
          <xdr:row>5</xdr:row>
          <xdr:rowOff>19050</xdr:rowOff>
        </xdr:from>
        <xdr:to>
          <xdr:col>3</xdr:col>
          <xdr:colOff>76200</xdr:colOff>
          <xdr:row>6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7</xdr:row>
          <xdr:rowOff>152400</xdr:rowOff>
        </xdr:from>
        <xdr:to>
          <xdr:col>0</xdr:col>
          <xdr:colOff>66675</xdr:colOff>
          <xdr:row>9</xdr:row>
          <xdr:rowOff>95250</xdr:rowOff>
        </xdr:to>
        <xdr:sp macro="" textlink="">
          <xdr:nvSpPr>
            <xdr:cNvPr id="2079" name="Check Box 31" descr="&#10;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FFFFFF" mc:Ignorable="a14" a14:legacySpreadsheetColorIndex="9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9525</xdr:rowOff>
        </xdr:from>
        <xdr:to>
          <xdr:col>0</xdr:col>
          <xdr:colOff>76200</xdr:colOff>
          <xdr:row>10</xdr:row>
          <xdr:rowOff>123825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47625</xdr:colOff>
          <xdr:row>15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28575</xdr:rowOff>
        </xdr:from>
        <xdr:to>
          <xdr:col>0</xdr:col>
          <xdr:colOff>47625</xdr:colOff>
          <xdr:row>11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0"/>
                    </a:srgbClr>
                  </a:solidFill>
                </a14:hiddenFill>
              </a:ext>
              <a:ext uri="{91240B29-F687-4F45-9708-019B960494DF}">
                <a14:hiddenLine w="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4</xdr:row>
          <xdr:rowOff>228600</xdr:rowOff>
        </xdr:from>
        <xdr:to>
          <xdr:col>2</xdr:col>
          <xdr:colOff>847725</xdr:colOff>
          <xdr:row>6</xdr:row>
          <xdr:rowOff>0</xdr:rowOff>
        </xdr:to>
        <xdr:sp macro="" textlink="">
          <xdr:nvSpPr>
            <xdr:cNvPr id="75777" name="Check Box 1" hidden="1">
              <a:extLst>
                <a:ext uri="{63B3BB69-23CF-44E3-9099-C40C66FF867C}">
                  <a14:compatExt spid="_x0000_s75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4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5.xml"/><Relationship Id="rId4" Type="http://schemas.openxmlformats.org/officeDocument/2006/relationships/ctrlProp" Target="../ctrlProps/ctrlProp1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2F75B5"/>
  </sheetPr>
  <dimension ref="A1:C29"/>
  <sheetViews>
    <sheetView showGridLines="0" workbookViewId="0">
      <selection activeCell="P27" sqref="P27"/>
    </sheetView>
  </sheetViews>
  <sheetFormatPr defaultRowHeight="15" x14ac:dyDescent="0.25"/>
  <cols>
    <col min="1" max="1" width="3.140625" style="83" customWidth="1"/>
    <col min="2" max="2" width="3.28515625" style="83" customWidth="1"/>
    <col min="3" max="16384" width="9.140625" style="83"/>
  </cols>
  <sheetData>
    <row r="1" spans="1:3" x14ac:dyDescent="0.25">
      <c r="A1" s="82"/>
      <c r="B1" s="82"/>
      <c r="C1" s="82"/>
    </row>
    <row r="2" spans="1:3" ht="15.75" x14ac:dyDescent="0.25">
      <c r="A2" s="82"/>
      <c r="B2" s="86" t="s">
        <v>84</v>
      </c>
    </row>
    <row r="3" spans="1:3" x14ac:dyDescent="0.25">
      <c r="A3" s="82"/>
      <c r="B3" s="83" t="s">
        <v>103</v>
      </c>
    </row>
    <row r="4" spans="1:3" x14ac:dyDescent="0.25">
      <c r="A4" s="82"/>
      <c r="B4" s="83" t="s">
        <v>104</v>
      </c>
    </row>
    <row r="5" spans="1:3" x14ac:dyDescent="0.25">
      <c r="A5" s="82"/>
      <c r="B5" s="83" t="s">
        <v>105</v>
      </c>
    </row>
    <row r="6" spans="1:3" x14ac:dyDescent="0.25">
      <c r="A6" s="82"/>
    </row>
    <row r="8" spans="1:3" ht="15.75" x14ac:dyDescent="0.25">
      <c r="B8" s="86" t="s">
        <v>96</v>
      </c>
    </row>
    <row r="9" spans="1:3" x14ac:dyDescent="0.25">
      <c r="B9" s="84" t="s">
        <v>85</v>
      </c>
      <c r="C9" s="83" t="s">
        <v>99</v>
      </c>
    </row>
    <row r="10" spans="1:3" x14ac:dyDescent="0.25">
      <c r="B10" s="84" t="s">
        <v>86</v>
      </c>
      <c r="C10" s="83" t="s">
        <v>97</v>
      </c>
    </row>
    <row r="13" spans="1:3" x14ac:dyDescent="0.25">
      <c r="B13" s="84" t="s">
        <v>91</v>
      </c>
      <c r="C13" s="83" t="s">
        <v>98</v>
      </c>
    </row>
    <row r="14" spans="1:3" x14ac:dyDescent="0.25">
      <c r="B14" s="84" t="s">
        <v>92</v>
      </c>
      <c r="C14" s="83" t="s">
        <v>106</v>
      </c>
    </row>
    <row r="15" spans="1:3" x14ac:dyDescent="0.25">
      <c r="B15" s="84" t="s">
        <v>100</v>
      </c>
      <c r="C15" s="83" t="s">
        <v>107</v>
      </c>
    </row>
    <row r="16" spans="1:3" x14ac:dyDescent="0.25">
      <c r="B16" s="84" t="s">
        <v>101</v>
      </c>
      <c r="C16" s="83" t="s">
        <v>108</v>
      </c>
    </row>
    <row r="17" spans="2:3" x14ac:dyDescent="0.25">
      <c r="B17" s="84" t="s">
        <v>102</v>
      </c>
      <c r="C17" s="83" t="s">
        <v>93</v>
      </c>
    </row>
    <row r="21" spans="2:3" x14ac:dyDescent="0.25">
      <c r="B21" s="85" t="s">
        <v>90</v>
      </c>
      <c r="C21" s="81"/>
    </row>
    <row r="22" spans="2:3" x14ac:dyDescent="0.25">
      <c r="B22" s="81" t="s">
        <v>85</v>
      </c>
      <c r="C22" s="81" t="s">
        <v>87</v>
      </c>
    </row>
    <row r="23" spans="2:3" x14ac:dyDescent="0.25">
      <c r="B23" s="81" t="s">
        <v>86</v>
      </c>
      <c r="C23" s="81" t="s">
        <v>88</v>
      </c>
    </row>
    <row r="24" spans="2:3" x14ac:dyDescent="0.25">
      <c r="B24" s="81"/>
      <c r="C24" s="81" t="s">
        <v>89</v>
      </c>
    </row>
    <row r="26" spans="2:3" x14ac:dyDescent="0.25">
      <c r="B26" s="84"/>
    </row>
    <row r="27" spans="2:3" x14ac:dyDescent="0.25">
      <c r="B27" s="84"/>
    </row>
    <row r="29" spans="2:3" x14ac:dyDescent="0.25">
      <c r="B29" s="84"/>
    </row>
  </sheetData>
  <sheetProtection autoFilter="0"/>
  <dataConsolidate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>
    <tabColor rgb="FFDC323C"/>
  </sheetPr>
  <dimension ref="B2:E8"/>
  <sheetViews>
    <sheetView showGridLines="0" workbookViewId="0">
      <pane ySplit="6" topLeftCell="A49" activePane="bottomLeft" state="frozen"/>
      <selection pane="bottomLeft" activeCell="E23" sqref="E23"/>
    </sheetView>
  </sheetViews>
  <sheetFormatPr defaultRowHeight="15" x14ac:dyDescent="0.25"/>
  <cols>
    <col min="1" max="1" width="4.7109375" style="35" customWidth="1"/>
    <col min="2" max="2" width="3.5703125" style="36" customWidth="1"/>
    <col min="3" max="3" width="35" style="37" bestFit="1" customWidth="1"/>
    <col min="4" max="4" width="62.85546875" style="37" bestFit="1" customWidth="1"/>
    <col min="5" max="5" width="20.85546875" style="35" customWidth="1"/>
    <col min="6" max="6" width="12.85546875" style="35" customWidth="1"/>
    <col min="7" max="16384" width="9.140625" style="35"/>
  </cols>
  <sheetData>
    <row r="2" spans="2:5" ht="20.25" customHeight="1" x14ac:dyDescent="0.25">
      <c r="B2" s="53" t="s">
        <v>79</v>
      </c>
      <c r="C2" s="54" t="s">
        <v>80</v>
      </c>
      <c r="D2" s="53" t="s">
        <v>84</v>
      </c>
    </row>
    <row r="3" spans="2:5" x14ac:dyDescent="0.25">
      <c r="B3" s="55">
        <v>1</v>
      </c>
      <c r="C3" s="56" t="s">
        <v>81</v>
      </c>
      <c r="D3" s="47" t="s">
        <v>95</v>
      </c>
    </row>
    <row r="4" spans="2:5" x14ac:dyDescent="0.25">
      <c r="B4" s="55">
        <v>2</v>
      </c>
      <c r="C4" s="57" t="s">
        <v>82</v>
      </c>
      <c r="D4" s="47" t="s">
        <v>130</v>
      </c>
    </row>
    <row r="5" spans="2:5" x14ac:dyDescent="0.25">
      <c r="B5" s="55">
        <v>3</v>
      </c>
      <c r="C5" s="57" t="s">
        <v>83</v>
      </c>
      <c r="D5" s="47" t="s">
        <v>131</v>
      </c>
      <c r="E5" s="133" t="s">
        <v>109</v>
      </c>
    </row>
    <row r="8" spans="2:5" x14ac:dyDescent="0.25">
      <c r="C8" s="35"/>
    </row>
  </sheetData>
  <sheetProtection autoFilter="0"/>
  <dataConsolidate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Кнопка 1">
              <controlPr defaultSize="0" print="0" autoFill="0" autoPict="0" macro="[0]!Init">
                <anchor moveWithCells="1">
                  <from>
                    <xdr:col>4</xdr:col>
                    <xdr:colOff>76200</xdr:colOff>
                    <xdr:row>0</xdr:row>
                    <xdr:rowOff>180975</xdr:rowOff>
                  </from>
                  <to>
                    <xdr:col>4</xdr:col>
                    <xdr:colOff>1333500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>
    <tabColor rgb="FFDC323C"/>
  </sheetPr>
  <dimension ref="A1:AK5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Z19" sqref="Z19"/>
    </sheetView>
  </sheetViews>
  <sheetFormatPr defaultRowHeight="15" x14ac:dyDescent="0.25"/>
  <cols>
    <col min="1" max="1" width="40.28515625" style="65" bestFit="1" customWidth="1"/>
    <col min="2" max="2" width="8.85546875" style="49" bestFit="1" customWidth="1"/>
    <col min="3" max="3" width="16.140625" style="49" bestFit="1" customWidth="1"/>
    <col min="4" max="4" width="15" style="49" bestFit="1" customWidth="1"/>
    <col min="5" max="6" width="1.7109375" style="49" customWidth="1"/>
    <col min="7" max="7" width="8.85546875" style="67" bestFit="1" customWidth="1"/>
    <col min="8" max="8" width="16.140625" style="67" bestFit="1" customWidth="1"/>
    <col min="9" max="9" width="15" style="67" bestFit="1" customWidth="1"/>
    <col min="10" max="11" width="1.7109375" style="67" customWidth="1"/>
    <col min="12" max="12" width="8.28515625" style="49" customWidth="1"/>
    <col min="13" max="13" width="40.28515625" style="49" bestFit="1" customWidth="1"/>
    <col min="14" max="14" width="8.85546875" style="49" bestFit="1" customWidth="1"/>
    <col min="15" max="15" width="16.140625" style="49" bestFit="1" customWidth="1"/>
    <col min="16" max="16" width="15" style="49" bestFit="1" customWidth="1"/>
    <col min="17" max="18" width="1.7109375" style="49" customWidth="1"/>
    <col min="19" max="19" width="8.85546875" style="49" bestFit="1" customWidth="1"/>
    <col min="20" max="20" width="16.140625" style="49" bestFit="1" customWidth="1"/>
    <col min="21" max="21" width="15" style="49" bestFit="1" customWidth="1"/>
    <col min="22" max="23" width="1.7109375" style="49" customWidth="1"/>
    <col min="24" max="31" width="9.140625" style="65"/>
    <col min="32" max="32" width="34" style="65" bestFit="1" customWidth="1"/>
    <col min="33" max="33" width="12.28515625" style="65" customWidth="1"/>
    <col min="34" max="34" width="16.140625" style="65" bestFit="1" customWidth="1"/>
    <col min="35" max="35" width="15" style="65" bestFit="1" customWidth="1"/>
    <col min="36" max="37" width="1.7109375" style="65" customWidth="1"/>
    <col min="38" max="16384" width="9.140625" style="65"/>
  </cols>
  <sheetData>
    <row r="1" spans="1:37" s="51" customFormat="1" ht="30" customHeight="1" x14ac:dyDescent="0.25">
      <c r="A1" s="94" t="s">
        <v>25</v>
      </c>
      <c r="B1" s="523" t="s">
        <v>15</v>
      </c>
      <c r="C1" s="523"/>
      <c r="D1" s="523"/>
      <c r="E1" s="523"/>
      <c r="F1" s="523"/>
      <c r="G1" s="524" t="s">
        <v>42</v>
      </c>
      <c r="H1" s="524"/>
      <c r="I1" s="524"/>
      <c r="J1" s="524"/>
      <c r="K1" s="524"/>
      <c r="L1" s="52"/>
      <c r="M1" s="95" t="s">
        <v>31</v>
      </c>
      <c r="N1" s="525" t="s">
        <v>7</v>
      </c>
      <c r="O1" s="525"/>
      <c r="P1" s="525"/>
      <c r="Q1" s="525"/>
      <c r="R1" s="525"/>
      <c r="S1" s="525" t="s">
        <v>8</v>
      </c>
      <c r="T1" s="525"/>
      <c r="U1" s="525"/>
      <c r="V1" s="525"/>
      <c r="W1" s="525"/>
      <c r="Y1" s="93" t="s">
        <v>126</v>
      </c>
      <c r="Z1" s="93" t="s">
        <v>76</v>
      </c>
      <c r="AA1" s="39"/>
      <c r="AB1" s="289" t="s">
        <v>127</v>
      </c>
      <c r="AC1" s="289" t="s">
        <v>128</v>
      </c>
      <c r="AD1" s="289" t="s">
        <v>129</v>
      </c>
      <c r="AF1" s="95" t="s">
        <v>31</v>
      </c>
      <c r="AG1" s="525" t="s">
        <v>94</v>
      </c>
      <c r="AH1" s="525"/>
      <c r="AI1" s="525"/>
      <c r="AJ1" s="525"/>
      <c r="AK1" s="525"/>
    </row>
    <row r="2" spans="1:37" s="61" customFormat="1" ht="39" customHeight="1" x14ac:dyDescent="0.25">
      <c r="A2" s="58"/>
      <c r="B2" s="59" t="s">
        <v>81</v>
      </c>
      <c r="C2" s="59" t="s">
        <v>82</v>
      </c>
      <c r="D2" s="59" t="s">
        <v>83</v>
      </c>
      <c r="E2" s="59"/>
      <c r="F2" s="59"/>
      <c r="G2" s="59" t="s">
        <v>81</v>
      </c>
      <c r="H2" s="59" t="s">
        <v>82</v>
      </c>
      <c r="I2" s="59" t="s">
        <v>83</v>
      </c>
      <c r="J2" s="59"/>
      <c r="K2" s="59"/>
      <c r="L2" s="60"/>
      <c r="M2" s="59" t="s">
        <v>5</v>
      </c>
      <c r="N2" s="59" t="s">
        <v>81</v>
      </c>
      <c r="O2" s="59" t="s">
        <v>82</v>
      </c>
      <c r="P2" s="59" t="s">
        <v>83</v>
      </c>
      <c r="Q2" s="59"/>
      <c r="R2" s="59"/>
      <c r="S2" s="59" t="s">
        <v>81</v>
      </c>
      <c r="T2" s="59" t="s">
        <v>82</v>
      </c>
      <c r="U2" s="59" t="s">
        <v>83</v>
      </c>
      <c r="V2" s="59"/>
      <c r="W2" s="59"/>
      <c r="Y2" s="281" t="s">
        <v>126</v>
      </c>
      <c r="Z2" s="250">
        <v>0.19900000000000001</v>
      </c>
      <c r="AA2" s="62"/>
      <c r="AB2" s="281" t="s">
        <v>126</v>
      </c>
      <c r="AC2" s="250">
        <v>0</v>
      </c>
      <c r="AD2" s="250">
        <v>0</v>
      </c>
      <c r="AF2" s="58"/>
      <c r="AG2" s="59" t="s">
        <v>81</v>
      </c>
      <c r="AH2" s="59" t="s">
        <v>82</v>
      </c>
      <c r="AI2" s="59" t="s">
        <v>83</v>
      </c>
      <c r="AJ2" s="59"/>
      <c r="AK2" s="59"/>
    </row>
    <row r="3" spans="1:37" x14ac:dyDescent="0.25">
      <c r="A3" s="63" t="s">
        <v>5</v>
      </c>
      <c r="B3" s="64">
        <v>0.21740000000000001</v>
      </c>
      <c r="C3" s="49">
        <f>B3+0.45%</f>
        <v>0.22190000000000001</v>
      </c>
      <c r="D3" s="49">
        <f>B3+0.8%</f>
        <v>0.22540000000000002</v>
      </c>
      <c r="G3" s="66">
        <v>300000</v>
      </c>
      <c r="H3" s="67">
        <v>300000</v>
      </c>
      <c r="I3" s="67">
        <v>1000000</v>
      </c>
      <c r="M3" s="47" t="s">
        <v>5</v>
      </c>
      <c r="N3" s="68">
        <v>0</v>
      </c>
      <c r="O3" s="49">
        <v>0</v>
      </c>
      <c r="P3" s="49">
        <v>0</v>
      </c>
      <c r="S3" s="68">
        <v>0</v>
      </c>
      <c r="T3" s="49">
        <v>0</v>
      </c>
      <c r="U3" s="49">
        <v>0</v>
      </c>
      <c r="W3" s="69"/>
      <c r="Y3" s="281" t="s">
        <v>126</v>
      </c>
      <c r="Z3" s="250">
        <v>0.249</v>
      </c>
      <c r="AA3" s="62"/>
      <c r="AB3" s="281" t="s">
        <v>126</v>
      </c>
      <c r="AC3" s="250">
        <v>0</v>
      </c>
      <c r="AD3" s="250">
        <v>0</v>
      </c>
      <c r="AF3" s="356" t="s">
        <v>6</v>
      </c>
      <c r="AG3" s="96"/>
      <c r="AH3" s="96"/>
      <c r="AI3" s="96"/>
      <c r="AJ3" s="96"/>
      <c r="AK3" s="97"/>
    </row>
    <row r="4" spans="1:37" x14ac:dyDescent="0.25">
      <c r="A4" s="63" t="s">
        <v>5</v>
      </c>
      <c r="B4" s="64">
        <v>0.21740000000000001</v>
      </c>
      <c r="C4" s="49">
        <f t="shared" ref="C4:C8" si="0">B4+0.45%</f>
        <v>0.22190000000000001</v>
      </c>
      <c r="D4" s="49">
        <f t="shared" ref="D4:D8" si="1">B4+0.8%</f>
        <v>0.22540000000000002</v>
      </c>
      <c r="G4" s="66">
        <v>300000</v>
      </c>
      <c r="H4" s="67">
        <v>300000</v>
      </c>
      <c r="I4" s="67">
        <v>1000000</v>
      </c>
      <c r="M4" s="47" t="s">
        <v>5</v>
      </c>
      <c r="N4" s="68">
        <v>0.17499999999999999</v>
      </c>
      <c r="O4" s="49">
        <v>0.17499999999999999</v>
      </c>
      <c r="P4" s="49">
        <v>0.17499999999999999</v>
      </c>
      <c r="S4" s="68">
        <v>-4.7500000000000001E-2</v>
      </c>
      <c r="T4" s="49">
        <v>-4.7500000000000001E-2</v>
      </c>
      <c r="U4" s="49">
        <v>-4.7500000000000001E-2</v>
      </c>
      <c r="W4" s="69"/>
      <c r="Y4" s="281" t="s">
        <v>126</v>
      </c>
      <c r="Z4" s="250">
        <v>0.26900000000000002</v>
      </c>
      <c r="AA4" s="62"/>
      <c r="AB4" s="281" t="s">
        <v>126</v>
      </c>
      <c r="AC4" s="250">
        <v>0</v>
      </c>
      <c r="AD4" s="250">
        <v>0</v>
      </c>
      <c r="AF4" s="50" t="s">
        <v>10</v>
      </c>
      <c r="AG4" s="96"/>
      <c r="AH4" s="96"/>
      <c r="AI4" s="96"/>
      <c r="AJ4" s="96"/>
      <c r="AK4" s="97"/>
    </row>
    <row r="5" spans="1:37" x14ac:dyDescent="0.25">
      <c r="A5" s="63" t="s">
        <v>5</v>
      </c>
      <c r="B5" s="64">
        <v>0.21740000000000001</v>
      </c>
      <c r="C5" s="49">
        <f t="shared" si="0"/>
        <v>0.22190000000000001</v>
      </c>
      <c r="D5" s="49">
        <f t="shared" si="1"/>
        <v>0.22540000000000002</v>
      </c>
      <c r="G5" s="66">
        <v>300000</v>
      </c>
      <c r="H5" s="67">
        <v>300000</v>
      </c>
      <c r="I5" s="67">
        <v>1000000</v>
      </c>
      <c r="M5" s="47" t="s">
        <v>5</v>
      </c>
      <c r="N5" s="68">
        <v>0.19</v>
      </c>
      <c r="O5" s="49">
        <v>0.19</v>
      </c>
      <c r="P5" s="49">
        <v>0.19</v>
      </c>
      <c r="S5" s="68">
        <v>-5.4899999999999997E-2</v>
      </c>
      <c r="T5" s="49">
        <v>-5.4899999999999997E-2</v>
      </c>
      <c r="U5" s="49">
        <v>-5.4899999999999997E-2</v>
      </c>
      <c r="W5" s="69"/>
      <c r="Y5" s="281" t="s">
        <v>126</v>
      </c>
      <c r="Z5" s="250">
        <v>0.28399999999999997</v>
      </c>
      <c r="AA5" s="62"/>
      <c r="AB5" s="281" t="s">
        <v>126</v>
      </c>
      <c r="AC5" s="250">
        <v>0</v>
      </c>
      <c r="AD5" s="250">
        <v>0</v>
      </c>
      <c r="AF5" s="356" t="s">
        <v>62</v>
      </c>
      <c r="AG5" s="96"/>
      <c r="AH5" s="96"/>
      <c r="AI5" s="96"/>
      <c r="AJ5" s="96"/>
      <c r="AK5" s="97"/>
    </row>
    <row r="6" spans="1:37" x14ac:dyDescent="0.25">
      <c r="A6" s="63" t="s">
        <v>5</v>
      </c>
      <c r="B6" s="64">
        <v>0.21740000000000001</v>
      </c>
      <c r="C6" s="49">
        <f t="shared" si="0"/>
        <v>0.22190000000000001</v>
      </c>
      <c r="D6" s="49">
        <f t="shared" si="1"/>
        <v>0.22540000000000002</v>
      </c>
      <c r="G6" s="66">
        <v>300000</v>
      </c>
      <c r="H6" s="67">
        <v>300000</v>
      </c>
      <c r="I6" s="67">
        <v>1000000</v>
      </c>
      <c r="M6" s="47" t="s">
        <v>5</v>
      </c>
      <c r="N6" s="68">
        <v>0.22</v>
      </c>
      <c r="O6" s="49">
        <v>0.22</v>
      </c>
      <c r="P6" s="49">
        <v>0.22</v>
      </c>
      <c r="S6" s="68">
        <v>-7.2499999999999995E-2</v>
      </c>
      <c r="T6" s="49">
        <v>-7.2499999999999995E-2</v>
      </c>
      <c r="U6" s="49">
        <v>-7.2499999999999995E-2</v>
      </c>
      <c r="W6" s="69"/>
      <c r="AF6" s="50" t="s">
        <v>5</v>
      </c>
      <c r="AG6" s="96"/>
      <c r="AH6" s="96"/>
      <c r="AI6" s="96"/>
      <c r="AJ6" s="96"/>
      <c r="AK6" s="97"/>
    </row>
    <row r="7" spans="1:37" x14ac:dyDescent="0.25">
      <c r="A7" s="115" t="s">
        <v>5</v>
      </c>
      <c r="B7" s="111">
        <v>0.21990000000000001</v>
      </c>
      <c r="C7" s="49">
        <f t="shared" si="0"/>
        <v>0.22440000000000002</v>
      </c>
      <c r="D7" s="49">
        <f t="shared" si="1"/>
        <v>0.22790000000000002</v>
      </c>
      <c r="G7" s="66">
        <v>300000</v>
      </c>
      <c r="H7" s="67">
        <v>300000</v>
      </c>
      <c r="I7" s="67">
        <v>1000000</v>
      </c>
      <c r="M7" s="47" t="s">
        <v>5</v>
      </c>
      <c r="N7" s="89">
        <v>0.27</v>
      </c>
      <c r="O7" s="90">
        <v>0.27</v>
      </c>
      <c r="P7" s="90">
        <v>0.27</v>
      </c>
      <c r="Q7" s="87"/>
      <c r="R7" s="87"/>
      <c r="S7" s="89">
        <v>-9.2499999999999999E-2</v>
      </c>
      <c r="T7" s="49">
        <v>-9.2499999999999999E-2</v>
      </c>
      <c r="U7" s="49">
        <v>-9.2499999999999999E-2</v>
      </c>
      <c r="V7" s="87"/>
      <c r="W7" s="88"/>
    </row>
    <row r="8" spans="1:37" x14ac:dyDescent="0.25">
      <c r="A8" s="115" t="s">
        <v>5</v>
      </c>
      <c r="B8" s="111">
        <v>0.21990000000000001</v>
      </c>
      <c r="C8" s="49">
        <f t="shared" si="0"/>
        <v>0.22440000000000002</v>
      </c>
      <c r="D8" s="49">
        <f t="shared" si="1"/>
        <v>0.22790000000000002</v>
      </c>
      <c r="G8" s="66">
        <v>300000</v>
      </c>
      <c r="H8" s="67">
        <v>300000</v>
      </c>
      <c r="I8" s="67">
        <v>1000000</v>
      </c>
      <c r="M8" s="117" t="s">
        <v>5</v>
      </c>
      <c r="N8" s="113"/>
      <c r="O8" s="114"/>
      <c r="P8" s="114"/>
      <c r="S8" s="68"/>
      <c r="W8" s="69"/>
    </row>
    <row r="9" spans="1:37" x14ac:dyDescent="0.25">
      <c r="A9" s="342" t="s">
        <v>6</v>
      </c>
      <c r="B9" s="276">
        <v>7.9899999999999999E-2</v>
      </c>
      <c r="C9" s="277">
        <v>7.9899999999999999E-2</v>
      </c>
      <c r="D9" s="278">
        <v>0.08</v>
      </c>
      <c r="E9" s="277"/>
      <c r="F9" s="277"/>
      <c r="G9" s="279">
        <v>300000</v>
      </c>
      <c r="H9" s="280">
        <v>300000</v>
      </c>
      <c r="I9" s="280">
        <v>300000</v>
      </c>
      <c r="M9" s="281" t="s">
        <v>10</v>
      </c>
      <c r="N9" s="282">
        <v>0</v>
      </c>
      <c r="O9" s="283">
        <v>0</v>
      </c>
      <c r="P9" s="283">
        <v>0</v>
      </c>
      <c r="Q9" s="283"/>
      <c r="R9" s="283"/>
      <c r="S9" s="282">
        <v>0</v>
      </c>
      <c r="T9" s="283">
        <v>0</v>
      </c>
      <c r="U9" s="283">
        <v>0</v>
      </c>
      <c r="V9" s="283"/>
      <c r="W9" s="286"/>
    </row>
    <row r="10" spans="1:37" x14ac:dyDescent="0.25">
      <c r="A10" s="275" t="s">
        <v>6</v>
      </c>
      <c r="B10" s="276">
        <v>7.9899999999999999E-2</v>
      </c>
      <c r="C10" s="277">
        <v>7.9899999999999999E-2</v>
      </c>
      <c r="D10" s="278">
        <v>0.08</v>
      </c>
      <c r="E10" s="277"/>
      <c r="F10" s="277"/>
      <c r="G10" s="279">
        <v>300000</v>
      </c>
      <c r="H10" s="280">
        <v>300000</v>
      </c>
      <c r="I10" s="280">
        <v>300000</v>
      </c>
      <c r="M10" s="281" t="s">
        <v>10</v>
      </c>
      <c r="N10" s="276"/>
      <c r="O10" s="277"/>
      <c r="P10" s="277"/>
      <c r="Q10" s="277"/>
      <c r="R10" s="277"/>
      <c r="S10" s="276"/>
      <c r="T10" s="277"/>
      <c r="U10" s="277"/>
      <c r="V10" s="277"/>
      <c r="W10" s="287"/>
    </row>
    <row r="11" spans="1:37" x14ac:dyDescent="0.25">
      <c r="A11" s="303" t="s">
        <v>10</v>
      </c>
      <c r="B11" s="304">
        <v>5.9900000000000002E-2</v>
      </c>
      <c r="C11" s="305">
        <v>5.9900000000000002E-2</v>
      </c>
      <c r="D11" s="306">
        <v>0.06</v>
      </c>
      <c r="E11" s="305"/>
      <c r="F11" s="305"/>
      <c r="G11" s="307">
        <v>300000</v>
      </c>
      <c r="H11" s="308">
        <v>300000</v>
      </c>
      <c r="I11" s="308">
        <v>300000</v>
      </c>
      <c r="M11" s="281" t="s">
        <v>10</v>
      </c>
      <c r="N11" s="276"/>
      <c r="O11" s="277"/>
      <c r="P11" s="277"/>
      <c r="Q11" s="277"/>
      <c r="R11" s="277"/>
      <c r="S11" s="276"/>
      <c r="T11" s="277"/>
      <c r="U11" s="277"/>
      <c r="V11" s="277"/>
      <c r="W11" s="287"/>
    </row>
    <row r="12" spans="1:37" x14ac:dyDescent="0.25">
      <c r="A12" s="303" t="s">
        <v>10</v>
      </c>
      <c r="B12" s="304">
        <v>5.9900000000000002E-2</v>
      </c>
      <c r="C12" s="305">
        <v>5.9900000000000002E-2</v>
      </c>
      <c r="D12" s="306">
        <v>0.06</v>
      </c>
      <c r="E12" s="305"/>
      <c r="F12" s="305"/>
      <c r="G12" s="307">
        <v>300000</v>
      </c>
      <c r="H12" s="308">
        <v>300000</v>
      </c>
      <c r="I12" s="308">
        <v>300000</v>
      </c>
      <c r="M12" s="281" t="s">
        <v>10</v>
      </c>
      <c r="N12" s="276"/>
      <c r="O12" s="277"/>
      <c r="P12" s="277"/>
      <c r="Q12" s="277"/>
      <c r="R12" s="277"/>
      <c r="S12" s="276"/>
      <c r="T12" s="277"/>
      <c r="U12" s="277"/>
      <c r="V12" s="277"/>
      <c r="W12" s="287"/>
    </row>
    <row r="13" spans="1:37" x14ac:dyDescent="0.25">
      <c r="A13" s="342" t="s">
        <v>62</v>
      </c>
      <c r="B13" s="343">
        <v>4.99E-2</v>
      </c>
      <c r="C13" s="344">
        <v>4.99E-2</v>
      </c>
      <c r="D13" s="345">
        <v>0.05</v>
      </c>
      <c r="E13" s="344"/>
      <c r="F13" s="344"/>
      <c r="G13" s="346">
        <v>300000</v>
      </c>
      <c r="H13" s="347">
        <v>300000</v>
      </c>
      <c r="I13" s="347">
        <v>300000</v>
      </c>
      <c r="J13" s="308"/>
      <c r="M13" s="281" t="s">
        <v>10</v>
      </c>
      <c r="N13" s="276"/>
      <c r="O13" s="277"/>
      <c r="P13" s="277"/>
      <c r="Q13" s="277"/>
      <c r="R13" s="277"/>
      <c r="S13" s="276"/>
      <c r="T13" s="277"/>
      <c r="U13" s="277"/>
      <c r="V13" s="277"/>
      <c r="W13" s="287"/>
    </row>
    <row r="14" spans="1:37" x14ac:dyDescent="0.25">
      <c r="A14" s="342" t="s">
        <v>62</v>
      </c>
      <c r="B14" s="343">
        <v>4.99E-2</v>
      </c>
      <c r="C14" s="344">
        <v>4.99E-2</v>
      </c>
      <c r="D14" s="345">
        <v>0.05</v>
      </c>
      <c r="E14" s="344"/>
      <c r="F14" s="344"/>
      <c r="G14" s="346">
        <v>300000</v>
      </c>
      <c r="H14" s="347">
        <v>300000</v>
      </c>
      <c r="I14" s="347">
        <v>300000</v>
      </c>
      <c r="J14" s="308"/>
      <c r="M14" s="281" t="s">
        <v>10</v>
      </c>
      <c r="N14" s="284"/>
      <c r="O14" s="285"/>
      <c r="P14" s="285"/>
      <c r="Q14" s="285"/>
      <c r="R14" s="285"/>
      <c r="S14" s="284"/>
      <c r="T14" s="285"/>
      <c r="U14" s="285"/>
      <c r="V14" s="285"/>
      <c r="W14" s="288"/>
    </row>
    <row r="15" spans="1:37" x14ac:dyDescent="0.25">
      <c r="A15" s="63" t="s">
        <v>61</v>
      </c>
      <c r="B15" s="68">
        <v>1.9900000000000001E-2</v>
      </c>
      <c r="C15" s="49">
        <v>1.9900000000000001E-2</v>
      </c>
      <c r="D15" s="49">
        <v>1.9900000000000001E-2</v>
      </c>
      <c r="G15" s="66">
        <v>300000</v>
      </c>
      <c r="H15" s="67">
        <v>300000</v>
      </c>
      <c r="I15" s="67">
        <v>300000</v>
      </c>
      <c r="M15" s="348" t="s">
        <v>62</v>
      </c>
      <c r="N15" s="349">
        <v>0</v>
      </c>
      <c r="O15" s="350">
        <v>0</v>
      </c>
      <c r="P15" s="350">
        <v>0</v>
      </c>
      <c r="Q15" s="350"/>
      <c r="R15" s="350"/>
      <c r="S15" s="349">
        <v>0</v>
      </c>
      <c r="T15" s="350">
        <v>0</v>
      </c>
      <c r="U15" s="350">
        <v>0</v>
      </c>
      <c r="V15" s="350"/>
      <c r="W15" s="351"/>
    </row>
    <row r="16" spans="1:37" x14ac:dyDescent="0.25">
      <c r="A16" s="63" t="s">
        <v>61</v>
      </c>
      <c r="B16" s="68">
        <v>1.9900000000000001E-2</v>
      </c>
      <c r="C16" s="49">
        <v>1.9900000000000001E-2</v>
      </c>
      <c r="D16" s="49">
        <v>1.9900000000000001E-2</v>
      </c>
      <c r="G16" s="66">
        <v>300000</v>
      </c>
      <c r="H16" s="67">
        <v>300000</v>
      </c>
      <c r="I16" s="67">
        <v>300000</v>
      </c>
      <c r="M16" s="348" t="s">
        <v>62</v>
      </c>
      <c r="N16" s="343"/>
      <c r="O16" s="344"/>
      <c r="P16" s="344"/>
      <c r="Q16" s="344"/>
      <c r="R16" s="344"/>
      <c r="S16" s="343"/>
      <c r="T16" s="344"/>
      <c r="U16" s="344"/>
      <c r="V16" s="344"/>
      <c r="W16" s="352"/>
    </row>
    <row r="17" spans="1:23" x14ac:dyDescent="0.25">
      <c r="A17" s="63" t="s">
        <v>22</v>
      </c>
      <c r="B17" s="64">
        <v>0.21740000000000001</v>
      </c>
      <c r="C17" s="49">
        <f t="shared" ref="C17" si="2">B17+0.45%</f>
        <v>0.22190000000000001</v>
      </c>
      <c r="D17" s="49">
        <f t="shared" ref="D17" si="3">B17+0.8%</f>
        <v>0.22540000000000002</v>
      </c>
      <c r="G17" s="66">
        <v>300000</v>
      </c>
      <c r="H17" s="67">
        <v>300000</v>
      </c>
      <c r="I17" s="67">
        <v>1000000</v>
      </c>
      <c r="M17" s="348" t="s">
        <v>62</v>
      </c>
      <c r="N17" s="343"/>
      <c r="O17" s="344"/>
      <c r="P17" s="344"/>
      <c r="Q17" s="344"/>
      <c r="R17" s="344"/>
      <c r="S17" s="343"/>
      <c r="T17" s="344"/>
      <c r="U17" s="344"/>
      <c r="V17" s="344"/>
      <c r="W17" s="352"/>
    </row>
    <row r="18" spans="1:23" x14ac:dyDescent="0.25">
      <c r="A18" s="63" t="s">
        <v>22</v>
      </c>
      <c r="B18" s="64">
        <v>0.21740000000000001</v>
      </c>
      <c r="C18" s="49">
        <f t="shared" ref="C18:C32" si="4">B18+0.45%</f>
        <v>0.22190000000000001</v>
      </c>
      <c r="D18" s="49">
        <f t="shared" ref="D18:D32" si="5">B18+0.8%</f>
        <v>0.22540000000000002</v>
      </c>
      <c r="G18" s="66">
        <v>300000</v>
      </c>
      <c r="H18" s="67">
        <v>300000</v>
      </c>
      <c r="I18" s="67">
        <v>1000000</v>
      </c>
      <c r="M18" s="348" t="s">
        <v>62</v>
      </c>
      <c r="N18" s="343"/>
      <c r="O18" s="344"/>
      <c r="P18" s="344"/>
      <c r="Q18" s="344"/>
      <c r="R18" s="344"/>
      <c r="S18" s="343"/>
      <c r="T18" s="344"/>
      <c r="U18" s="344"/>
      <c r="V18" s="344"/>
      <c r="W18" s="352"/>
    </row>
    <row r="19" spans="1:23" x14ac:dyDescent="0.25">
      <c r="A19" s="63" t="s">
        <v>22</v>
      </c>
      <c r="B19" s="64">
        <v>0.21740000000000001</v>
      </c>
      <c r="C19" s="49">
        <f t="shared" si="4"/>
        <v>0.22190000000000001</v>
      </c>
      <c r="D19" s="49">
        <f t="shared" si="5"/>
        <v>0.22540000000000002</v>
      </c>
      <c r="G19" s="66">
        <v>300000</v>
      </c>
      <c r="H19" s="67">
        <v>300000</v>
      </c>
      <c r="I19" s="67">
        <v>1000000</v>
      </c>
      <c r="M19" s="348" t="s">
        <v>62</v>
      </c>
      <c r="N19" s="343"/>
      <c r="O19" s="344"/>
      <c r="P19" s="344"/>
      <c r="Q19" s="344"/>
      <c r="R19" s="344"/>
      <c r="S19" s="343"/>
      <c r="T19" s="344"/>
      <c r="U19" s="344"/>
      <c r="V19" s="344"/>
      <c r="W19" s="352"/>
    </row>
    <row r="20" spans="1:23" x14ac:dyDescent="0.25">
      <c r="A20" s="63" t="s">
        <v>22</v>
      </c>
      <c r="B20" s="64">
        <v>0.21740000000000001</v>
      </c>
      <c r="C20" s="49">
        <f t="shared" si="4"/>
        <v>0.22190000000000001</v>
      </c>
      <c r="D20" s="49">
        <f t="shared" si="5"/>
        <v>0.22540000000000002</v>
      </c>
      <c r="G20" s="66">
        <v>300000</v>
      </c>
      <c r="H20" s="67">
        <v>300000</v>
      </c>
      <c r="I20" s="67">
        <v>1000000</v>
      </c>
      <c r="M20" s="348" t="s">
        <v>62</v>
      </c>
      <c r="N20" s="353"/>
      <c r="O20" s="354"/>
      <c r="P20" s="354"/>
      <c r="Q20" s="354"/>
      <c r="R20" s="354"/>
      <c r="S20" s="353"/>
      <c r="T20" s="354"/>
      <c r="U20" s="354"/>
      <c r="V20" s="354"/>
      <c r="W20" s="355"/>
    </row>
    <row r="21" spans="1:23" x14ac:dyDescent="0.25">
      <c r="A21" s="115" t="s">
        <v>22</v>
      </c>
      <c r="B21" s="111">
        <v>0.21990000000000001</v>
      </c>
      <c r="C21" s="49">
        <f t="shared" si="4"/>
        <v>0.22440000000000002</v>
      </c>
      <c r="D21" s="49">
        <f t="shared" si="5"/>
        <v>0.22790000000000002</v>
      </c>
      <c r="G21" s="66">
        <v>300000</v>
      </c>
      <c r="H21" s="67">
        <v>300000</v>
      </c>
      <c r="I21" s="67">
        <v>1000000</v>
      </c>
      <c r="M21" s="281" t="s">
        <v>61</v>
      </c>
      <c r="N21" s="282">
        <v>0</v>
      </c>
      <c r="O21" s="283">
        <v>0</v>
      </c>
      <c r="P21" s="283">
        <v>0</v>
      </c>
      <c r="Q21" s="283"/>
      <c r="R21" s="283"/>
      <c r="S21" s="282">
        <v>0</v>
      </c>
      <c r="T21" s="283">
        <v>0</v>
      </c>
      <c r="U21" s="283">
        <v>0</v>
      </c>
      <c r="V21" s="283"/>
      <c r="W21" s="286"/>
    </row>
    <row r="22" spans="1:23" x14ac:dyDescent="0.25">
      <c r="A22" s="115" t="s">
        <v>22</v>
      </c>
      <c r="B22" s="111">
        <v>0.21990000000000001</v>
      </c>
      <c r="C22" s="49">
        <f t="shared" si="4"/>
        <v>0.22440000000000002</v>
      </c>
      <c r="D22" s="49">
        <f t="shared" si="5"/>
        <v>0.22790000000000002</v>
      </c>
      <c r="G22" s="66">
        <v>300000</v>
      </c>
      <c r="H22" s="67">
        <v>300000</v>
      </c>
      <c r="I22" s="67">
        <v>1000000</v>
      </c>
      <c r="M22" s="281" t="s">
        <v>61</v>
      </c>
      <c r="N22" s="276"/>
      <c r="O22" s="277"/>
      <c r="P22" s="277"/>
      <c r="Q22" s="277"/>
      <c r="R22" s="277"/>
      <c r="S22" s="276"/>
      <c r="T22" s="277"/>
      <c r="U22" s="277"/>
      <c r="V22" s="277"/>
      <c r="W22" s="287"/>
    </row>
    <row r="23" spans="1:23" x14ac:dyDescent="0.25">
      <c r="A23" s="63" t="s">
        <v>22</v>
      </c>
      <c r="B23" s="64">
        <v>0.21740000000000001</v>
      </c>
      <c r="C23" s="49">
        <f t="shared" si="4"/>
        <v>0.22190000000000001</v>
      </c>
      <c r="D23" s="49">
        <f t="shared" si="5"/>
        <v>0.22540000000000002</v>
      </c>
      <c r="G23" s="66">
        <v>300000</v>
      </c>
      <c r="H23" s="67">
        <v>300000</v>
      </c>
      <c r="I23" s="67">
        <v>1000000</v>
      </c>
      <c r="M23" s="281" t="s">
        <v>61</v>
      </c>
      <c r="N23" s="276"/>
      <c r="O23" s="277"/>
      <c r="P23" s="277"/>
      <c r="Q23" s="277"/>
      <c r="R23" s="277"/>
      <c r="S23" s="276"/>
      <c r="T23" s="277"/>
      <c r="U23" s="277"/>
      <c r="V23" s="277"/>
      <c r="W23" s="287"/>
    </row>
    <row r="24" spans="1:23" x14ac:dyDescent="0.25">
      <c r="A24" s="63" t="s">
        <v>22</v>
      </c>
      <c r="B24" s="64">
        <v>0.21740000000000001</v>
      </c>
      <c r="C24" s="49">
        <f t="shared" si="4"/>
        <v>0.22190000000000001</v>
      </c>
      <c r="D24" s="49">
        <f t="shared" si="5"/>
        <v>0.22540000000000002</v>
      </c>
      <c r="G24" s="66">
        <v>300000</v>
      </c>
      <c r="H24" s="67">
        <v>300000</v>
      </c>
      <c r="I24" s="67">
        <v>1000000</v>
      </c>
      <c r="M24" s="281" t="s">
        <v>61</v>
      </c>
      <c r="N24" s="276"/>
      <c r="O24" s="277"/>
      <c r="P24" s="277"/>
      <c r="Q24" s="277"/>
      <c r="R24" s="277"/>
      <c r="S24" s="276"/>
      <c r="T24" s="277"/>
      <c r="U24" s="277"/>
      <c r="V24" s="277"/>
      <c r="W24" s="287"/>
    </row>
    <row r="25" spans="1:23" x14ac:dyDescent="0.25">
      <c r="A25" s="63" t="s">
        <v>23</v>
      </c>
      <c r="B25" s="64">
        <v>0.21740000000000001</v>
      </c>
      <c r="C25" s="49">
        <f t="shared" si="4"/>
        <v>0.22190000000000001</v>
      </c>
      <c r="D25" s="49">
        <f t="shared" si="5"/>
        <v>0.22540000000000002</v>
      </c>
      <c r="G25" s="66">
        <v>300000</v>
      </c>
      <c r="H25" s="67">
        <v>300000</v>
      </c>
      <c r="I25" s="67">
        <v>1000000</v>
      </c>
      <c r="M25" s="281" t="s">
        <v>61</v>
      </c>
      <c r="N25" s="276"/>
      <c r="O25" s="277"/>
      <c r="P25" s="277"/>
      <c r="Q25" s="277"/>
      <c r="R25" s="277"/>
      <c r="S25" s="276"/>
      <c r="T25" s="277"/>
      <c r="U25" s="277"/>
      <c r="V25" s="277"/>
      <c r="W25" s="287"/>
    </row>
    <row r="26" spans="1:23" x14ac:dyDescent="0.25">
      <c r="A26" s="63" t="s">
        <v>23</v>
      </c>
      <c r="B26" s="64">
        <v>0.21740000000000001</v>
      </c>
      <c r="C26" s="49">
        <f t="shared" si="4"/>
        <v>0.22190000000000001</v>
      </c>
      <c r="D26" s="49">
        <f t="shared" si="5"/>
        <v>0.22540000000000002</v>
      </c>
      <c r="G26" s="66">
        <v>300000</v>
      </c>
      <c r="H26" s="67">
        <v>300000</v>
      </c>
      <c r="I26" s="67">
        <v>1000000</v>
      </c>
      <c r="M26" s="281" t="s">
        <v>61</v>
      </c>
      <c r="N26" s="284"/>
      <c r="O26" s="285"/>
      <c r="P26" s="285"/>
      <c r="Q26" s="285"/>
      <c r="R26" s="285"/>
      <c r="S26" s="284"/>
      <c r="T26" s="285"/>
      <c r="U26" s="285"/>
      <c r="V26" s="285"/>
      <c r="W26" s="288"/>
    </row>
    <row r="27" spans="1:23" x14ac:dyDescent="0.25">
      <c r="A27" s="63" t="s">
        <v>23</v>
      </c>
      <c r="B27" s="64">
        <v>0.21740000000000001</v>
      </c>
      <c r="C27" s="49">
        <f t="shared" si="4"/>
        <v>0.22190000000000001</v>
      </c>
      <c r="D27" s="49">
        <f t="shared" si="5"/>
        <v>0.22540000000000002</v>
      </c>
      <c r="G27" s="66">
        <v>300000</v>
      </c>
      <c r="H27" s="67">
        <v>300000</v>
      </c>
      <c r="I27" s="67">
        <v>1000000</v>
      </c>
      <c r="M27" s="281" t="s">
        <v>6</v>
      </c>
      <c r="N27" s="282">
        <v>0</v>
      </c>
      <c r="O27" s="283">
        <v>0</v>
      </c>
      <c r="P27" s="283">
        <v>0</v>
      </c>
      <c r="Q27" s="283"/>
      <c r="R27" s="283"/>
      <c r="S27" s="282">
        <v>0</v>
      </c>
      <c r="T27" s="283">
        <v>0</v>
      </c>
      <c r="U27" s="283">
        <v>0</v>
      </c>
      <c r="V27" s="283"/>
      <c r="W27" s="286"/>
    </row>
    <row r="28" spans="1:23" x14ac:dyDescent="0.25">
      <c r="A28" s="63" t="s">
        <v>23</v>
      </c>
      <c r="B28" s="64">
        <v>0.21740000000000001</v>
      </c>
      <c r="C28" s="49">
        <f t="shared" si="4"/>
        <v>0.22190000000000001</v>
      </c>
      <c r="D28" s="49">
        <f t="shared" si="5"/>
        <v>0.22540000000000002</v>
      </c>
      <c r="G28" s="66">
        <v>300000</v>
      </c>
      <c r="H28" s="67">
        <v>300000</v>
      </c>
      <c r="I28" s="67">
        <v>1000000</v>
      </c>
      <c r="M28" s="281" t="s">
        <v>6</v>
      </c>
      <c r="N28" s="276"/>
      <c r="O28" s="277"/>
      <c r="P28" s="277"/>
      <c r="Q28" s="277"/>
      <c r="R28" s="277"/>
      <c r="S28" s="276"/>
      <c r="T28" s="277"/>
      <c r="U28" s="277"/>
      <c r="V28" s="277"/>
      <c r="W28" s="287"/>
    </row>
    <row r="29" spans="1:23" x14ac:dyDescent="0.25">
      <c r="A29" s="115" t="s">
        <v>23</v>
      </c>
      <c r="B29" s="111">
        <v>0.21990000000000001</v>
      </c>
      <c r="C29" s="49">
        <f t="shared" si="4"/>
        <v>0.22440000000000002</v>
      </c>
      <c r="D29" s="49">
        <f t="shared" si="5"/>
        <v>0.22790000000000002</v>
      </c>
      <c r="G29" s="66">
        <v>300000</v>
      </c>
      <c r="H29" s="67">
        <v>300000</v>
      </c>
      <c r="I29" s="67">
        <v>1000000</v>
      </c>
      <c r="M29" s="281" t="s">
        <v>6</v>
      </c>
      <c r="N29" s="276"/>
      <c r="O29" s="277"/>
      <c r="P29" s="277"/>
      <c r="Q29" s="277"/>
      <c r="R29" s="277"/>
      <c r="S29" s="276"/>
      <c r="T29" s="277"/>
      <c r="U29" s="277"/>
      <c r="V29" s="277"/>
      <c r="W29" s="287"/>
    </row>
    <row r="30" spans="1:23" x14ac:dyDescent="0.25">
      <c r="A30" s="115" t="s">
        <v>23</v>
      </c>
      <c r="B30" s="111">
        <v>0.21990000000000001</v>
      </c>
      <c r="C30" s="49">
        <f t="shared" si="4"/>
        <v>0.22440000000000002</v>
      </c>
      <c r="D30" s="49">
        <f t="shared" si="5"/>
        <v>0.22790000000000002</v>
      </c>
      <c r="G30" s="66">
        <v>300000</v>
      </c>
      <c r="H30" s="67">
        <v>300000</v>
      </c>
      <c r="I30" s="67">
        <v>1000000</v>
      </c>
      <c r="M30" s="281" t="s">
        <v>6</v>
      </c>
      <c r="N30" s="276"/>
      <c r="O30" s="277"/>
      <c r="P30" s="277"/>
      <c r="Q30" s="277"/>
      <c r="R30" s="277"/>
      <c r="S30" s="276"/>
      <c r="T30" s="277"/>
      <c r="U30" s="277"/>
      <c r="V30" s="277"/>
      <c r="W30" s="287"/>
    </row>
    <row r="31" spans="1:23" x14ac:dyDescent="0.25">
      <c r="A31" s="63" t="s">
        <v>23</v>
      </c>
      <c r="B31" s="64">
        <v>0.21740000000000001</v>
      </c>
      <c r="C31" s="49">
        <f t="shared" si="4"/>
        <v>0.22190000000000001</v>
      </c>
      <c r="D31" s="49">
        <f t="shared" si="5"/>
        <v>0.22540000000000002</v>
      </c>
      <c r="G31" s="66">
        <v>300000</v>
      </c>
      <c r="H31" s="67">
        <v>300000</v>
      </c>
      <c r="I31" s="67">
        <v>1000000</v>
      </c>
      <c r="M31" s="281" t="s">
        <v>6</v>
      </c>
      <c r="N31" s="276"/>
      <c r="O31" s="277"/>
      <c r="P31" s="277"/>
      <c r="Q31" s="277"/>
      <c r="R31" s="277"/>
      <c r="S31" s="276"/>
      <c r="T31" s="277"/>
      <c r="U31" s="277"/>
      <c r="V31" s="277"/>
      <c r="W31" s="287"/>
    </row>
    <row r="32" spans="1:23" x14ac:dyDescent="0.25">
      <c r="A32" s="63" t="s">
        <v>23</v>
      </c>
      <c r="B32" s="64">
        <v>0.21740000000000001</v>
      </c>
      <c r="C32" s="49">
        <f t="shared" si="4"/>
        <v>0.22190000000000001</v>
      </c>
      <c r="D32" s="49">
        <f t="shared" si="5"/>
        <v>0.22540000000000002</v>
      </c>
      <c r="G32" s="66">
        <v>300000</v>
      </c>
      <c r="H32" s="67">
        <v>300000</v>
      </c>
      <c r="I32" s="67">
        <v>1000000</v>
      </c>
      <c r="M32" s="281" t="s">
        <v>6</v>
      </c>
      <c r="N32" s="284"/>
      <c r="O32" s="285"/>
      <c r="P32" s="285"/>
      <c r="Q32" s="285"/>
      <c r="R32" s="285"/>
      <c r="S32" s="284"/>
      <c r="T32" s="285"/>
      <c r="U32" s="285"/>
      <c r="V32" s="285"/>
      <c r="W32" s="288"/>
    </row>
    <row r="33" spans="1:23" x14ac:dyDescent="0.25">
      <c r="A33" s="303" t="s">
        <v>35</v>
      </c>
      <c r="B33" s="304">
        <v>5.9900000000000002E-2</v>
      </c>
      <c r="C33" s="305">
        <v>5.9900000000000002E-2</v>
      </c>
      <c r="D33" s="305">
        <v>5.9900000000000002E-2</v>
      </c>
      <c r="E33" s="305"/>
      <c r="F33" s="305"/>
      <c r="G33" s="307">
        <v>300000</v>
      </c>
      <c r="H33" s="308">
        <v>300000</v>
      </c>
      <c r="I33" s="308">
        <v>300000</v>
      </c>
      <c r="M33" s="281" t="s">
        <v>38</v>
      </c>
      <c r="N33" s="282">
        <v>0</v>
      </c>
      <c r="O33" s="283">
        <v>0</v>
      </c>
      <c r="P33" s="283">
        <v>0</v>
      </c>
      <c r="Q33" s="283"/>
      <c r="R33" s="283"/>
      <c r="S33" s="282">
        <v>0</v>
      </c>
      <c r="T33" s="283">
        <v>0</v>
      </c>
      <c r="U33" s="283">
        <v>0</v>
      </c>
      <c r="V33" s="283"/>
      <c r="W33" s="286"/>
    </row>
    <row r="34" spans="1:23" x14ac:dyDescent="0.25">
      <c r="A34" s="303" t="s">
        <v>35</v>
      </c>
      <c r="B34" s="304">
        <v>5.9900000000000002E-2</v>
      </c>
      <c r="C34" s="305">
        <v>5.9900000000000002E-2</v>
      </c>
      <c r="D34" s="305">
        <v>5.9900000000000002E-2</v>
      </c>
      <c r="E34" s="305"/>
      <c r="F34" s="305"/>
      <c r="G34" s="307">
        <v>300000</v>
      </c>
      <c r="H34" s="308">
        <v>300000</v>
      </c>
      <c r="I34" s="308">
        <v>300000</v>
      </c>
      <c r="M34" s="281" t="s">
        <v>38</v>
      </c>
      <c r="N34" s="276"/>
      <c r="O34" s="277"/>
      <c r="P34" s="277"/>
      <c r="Q34" s="277"/>
      <c r="R34" s="277"/>
      <c r="S34" s="276"/>
      <c r="T34" s="277"/>
      <c r="U34" s="277"/>
      <c r="V34" s="277"/>
      <c r="W34" s="287"/>
    </row>
    <row r="35" spans="1:23" x14ac:dyDescent="0.25">
      <c r="A35" s="303" t="s">
        <v>38</v>
      </c>
      <c r="B35" s="304">
        <v>0.06</v>
      </c>
      <c r="C35" s="305">
        <v>0.06</v>
      </c>
      <c r="D35" s="305">
        <v>0.06</v>
      </c>
      <c r="E35" s="305"/>
      <c r="F35" s="305"/>
      <c r="G35" s="307">
        <v>300000</v>
      </c>
      <c r="H35" s="308">
        <v>300000</v>
      </c>
      <c r="I35" s="308">
        <v>300000</v>
      </c>
      <c r="J35" s="280"/>
      <c r="M35" s="281" t="s">
        <v>38</v>
      </c>
      <c r="N35" s="276"/>
      <c r="O35" s="277"/>
      <c r="P35" s="277"/>
      <c r="Q35" s="277"/>
      <c r="R35" s="277"/>
      <c r="S35" s="276"/>
      <c r="T35" s="277"/>
      <c r="U35" s="277"/>
      <c r="V35" s="277"/>
      <c r="W35" s="287"/>
    </row>
    <row r="36" spans="1:23" x14ac:dyDescent="0.25">
      <c r="A36" s="303" t="s">
        <v>38</v>
      </c>
      <c r="B36" s="304">
        <v>0.06</v>
      </c>
      <c r="C36" s="305">
        <v>0.06</v>
      </c>
      <c r="D36" s="305">
        <v>0.06</v>
      </c>
      <c r="E36" s="305"/>
      <c r="F36" s="305"/>
      <c r="G36" s="307">
        <v>300000</v>
      </c>
      <c r="H36" s="308">
        <v>300000</v>
      </c>
      <c r="I36" s="308">
        <v>300000</v>
      </c>
      <c r="J36" s="280"/>
      <c r="M36" s="281" t="s">
        <v>38</v>
      </c>
      <c r="N36" s="276"/>
      <c r="O36" s="277"/>
      <c r="P36" s="277"/>
      <c r="Q36" s="277"/>
      <c r="R36" s="277"/>
      <c r="S36" s="276"/>
      <c r="T36" s="277"/>
      <c r="U36" s="277"/>
      <c r="V36" s="277"/>
      <c r="W36" s="287"/>
    </row>
    <row r="37" spans="1:23" x14ac:dyDescent="0.25">
      <c r="M37" s="281" t="s">
        <v>38</v>
      </c>
      <c r="N37" s="276"/>
      <c r="O37" s="277"/>
      <c r="P37" s="277"/>
      <c r="Q37" s="277"/>
      <c r="R37" s="277"/>
      <c r="S37" s="276"/>
      <c r="T37" s="277"/>
      <c r="U37" s="277"/>
      <c r="V37" s="277"/>
      <c r="W37" s="287"/>
    </row>
    <row r="38" spans="1:23" x14ac:dyDescent="0.25">
      <c r="M38" s="281" t="s">
        <v>38</v>
      </c>
      <c r="N38" s="284"/>
      <c r="O38" s="285"/>
      <c r="P38" s="285"/>
      <c r="Q38" s="285"/>
      <c r="R38" s="285"/>
      <c r="S38" s="284"/>
      <c r="T38" s="285"/>
      <c r="U38" s="285"/>
      <c r="V38" s="285"/>
      <c r="W38" s="288"/>
    </row>
    <row r="39" spans="1:23" x14ac:dyDescent="0.25">
      <c r="M39" s="47" t="s">
        <v>22</v>
      </c>
      <c r="N39" s="68">
        <v>0</v>
      </c>
      <c r="O39" s="49">
        <v>0</v>
      </c>
      <c r="P39" s="49">
        <v>0</v>
      </c>
      <c r="S39" s="68">
        <v>0</v>
      </c>
      <c r="T39" s="49">
        <v>0</v>
      </c>
      <c r="U39" s="49">
        <v>0</v>
      </c>
      <c r="V39" s="118"/>
      <c r="W39" s="119"/>
    </row>
    <row r="40" spans="1:23" x14ac:dyDescent="0.25">
      <c r="M40" s="47" t="s">
        <v>22</v>
      </c>
      <c r="N40" s="68">
        <v>0.17499999999999999</v>
      </c>
      <c r="O40" s="49">
        <v>0.17499999999999999</v>
      </c>
      <c r="P40" s="49">
        <v>0.17499999999999999</v>
      </c>
      <c r="S40" s="68">
        <v>-4.7500000000000001E-2</v>
      </c>
      <c r="T40" s="49">
        <v>-4.7500000000000001E-2</v>
      </c>
      <c r="U40" s="49">
        <v>-4.7500000000000001E-2</v>
      </c>
      <c r="W40" s="69"/>
    </row>
    <row r="41" spans="1:23" x14ac:dyDescent="0.25">
      <c r="M41" s="47" t="s">
        <v>22</v>
      </c>
      <c r="N41" s="68">
        <v>0.19</v>
      </c>
      <c r="O41" s="49">
        <v>0.19</v>
      </c>
      <c r="P41" s="49">
        <v>0.19</v>
      </c>
      <c r="S41" s="68">
        <v>-5.4899999999999997E-2</v>
      </c>
      <c r="T41" s="49">
        <v>-5.4899999999999997E-2</v>
      </c>
      <c r="U41" s="49">
        <v>-5.4899999999999997E-2</v>
      </c>
      <c r="W41" s="69"/>
    </row>
    <row r="42" spans="1:23" x14ac:dyDescent="0.25">
      <c r="M42" s="47" t="s">
        <v>22</v>
      </c>
      <c r="N42" s="68">
        <v>0.22</v>
      </c>
      <c r="O42" s="49">
        <v>0.22</v>
      </c>
      <c r="P42" s="49">
        <v>0.22</v>
      </c>
      <c r="S42" s="68">
        <v>-7.2499999999999995E-2</v>
      </c>
      <c r="T42" s="49">
        <v>-7.2499999999999995E-2</v>
      </c>
      <c r="U42" s="49">
        <v>-7.2499999999999995E-2</v>
      </c>
      <c r="W42" s="69"/>
    </row>
    <row r="43" spans="1:23" x14ac:dyDescent="0.25">
      <c r="M43" s="47" t="s">
        <v>22</v>
      </c>
      <c r="N43" s="89">
        <v>0.27</v>
      </c>
      <c r="O43" s="90">
        <v>0.27</v>
      </c>
      <c r="P43" s="90">
        <v>0.27</v>
      </c>
      <c r="Q43" s="87"/>
      <c r="R43" s="87"/>
      <c r="S43" s="89">
        <v>-9.2499999999999999E-2</v>
      </c>
      <c r="T43" s="49">
        <v>-9.2499999999999999E-2</v>
      </c>
      <c r="U43" s="49">
        <v>-9.2499999999999999E-2</v>
      </c>
      <c r="V43" s="87"/>
      <c r="W43" s="88"/>
    </row>
    <row r="44" spans="1:23" x14ac:dyDescent="0.25">
      <c r="M44" s="47" t="s">
        <v>22</v>
      </c>
      <c r="N44" s="123"/>
      <c r="O44" s="124"/>
      <c r="P44" s="124"/>
      <c r="Q44" s="125"/>
      <c r="R44" s="121"/>
      <c r="S44" s="120"/>
      <c r="T44" s="121"/>
      <c r="U44" s="121"/>
      <c r="V44" s="121"/>
      <c r="W44" s="122"/>
    </row>
    <row r="45" spans="1:23" x14ac:dyDescent="0.25">
      <c r="M45" s="47" t="s">
        <v>23</v>
      </c>
      <c r="N45" s="68">
        <v>0</v>
      </c>
      <c r="O45" s="49">
        <v>0</v>
      </c>
      <c r="P45" s="49">
        <v>0</v>
      </c>
      <c r="S45" s="68">
        <v>0</v>
      </c>
      <c r="T45" s="49">
        <v>0</v>
      </c>
      <c r="U45" s="49">
        <v>0</v>
      </c>
      <c r="V45" s="118"/>
      <c r="W45" s="119"/>
    </row>
    <row r="46" spans="1:23" x14ac:dyDescent="0.25">
      <c r="M46" s="47" t="s">
        <v>23</v>
      </c>
      <c r="N46" s="68">
        <v>0.17499999999999999</v>
      </c>
      <c r="O46" s="49">
        <v>0.17499999999999999</v>
      </c>
      <c r="P46" s="49">
        <v>0.17499999999999999</v>
      </c>
      <c r="S46" s="68">
        <v>-4.7500000000000001E-2</v>
      </c>
      <c r="T46" s="49">
        <v>-4.7500000000000001E-2</v>
      </c>
      <c r="U46" s="49">
        <v>-4.7500000000000001E-2</v>
      </c>
      <c r="W46" s="69"/>
    </row>
    <row r="47" spans="1:23" x14ac:dyDescent="0.25">
      <c r="M47" s="47" t="s">
        <v>23</v>
      </c>
      <c r="N47" s="68">
        <v>0.19</v>
      </c>
      <c r="O47" s="49">
        <v>0.19</v>
      </c>
      <c r="P47" s="49">
        <v>0.19</v>
      </c>
      <c r="S47" s="68">
        <v>-5.4899999999999997E-2</v>
      </c>
      <c r="T47" s="49">
        <v>-5.4899999999999997E-2</v>
      </c>
      <c r="U47" s="49">
        <v>-5.4899999999999997E-2</v>
      </c>
      <c r="W47" s="69"/>
    </row>
    <row r="48" spans="1:23" x14ac:dyDescent="0.25">
      <c r="M48" s="47" t="s">
        <v>23</v>
      </c>
      <c r="N48" s="68">
        <v>0.22</v>
      </c>
      <c r="O48" s="49">
        <v>0.22</v>
      </c>
      <c r="P48" s="49">
        <v>0.22</v>
      </c>
      <c r="S48" s="68">
        <v>-7.2499999999999995E-2</v>
      </c>
      <c r="T48" s="49">
        <v>-7.2499999999999995E-2</v>
      </c>
      <c r="U48" s="49">
        <v>-7.2499999999999995E-2</v>
      </c>
      <c r="W48" s="69"/>
    </row>
    <row r="49" spans="13:23" x14ac:dyDescent="0.25">
      <c r="M49" s="47" t="s">
        <v>23</v>
      </c>
      <c r="N49" s="89">
        <v>0.27</v>
      </c>
      <c r="O49" s="90">
        <v>0.27</v>
      </c>
      <c r="P49" s="90">
        <v>0.27</v>
      </c>
      <c r="Q49" s="87"/>
      <c r="R49" s="87"/>
      <c r="S49" s="89">
        <v>-9.2499999999999999E-2</v>
      </c>
      <c r="T49" s="49">
        <v>-9.2499999999999999E-2</v>
      </c>
      <c r="U49" s="49">
        <v>-9.2499999999999999E-2</v>
      </c>
      <c r="V49" s="87"/>
      <c r="W49" s="88"/>
    </row>
    <row r="50" spans="13:23" x14ac:dyDescent="0.25">
      <c r="M50" s="47" t="s">
        <v>23</v>
      </c>
      <c r="N50" s="123"/>
      <c r="O50" s="124"/>
      <c r="P50" s="124"/>
      <c r="Q50" s="121"/>
      <c r="R50" s="121"/>
      <c r="S50" s="120"/>
      <c r="T50" s="121"/>
      <c r="U50" s="121"/>
      <c r="V50" s="121"/>
      <c r="W50" s="122"/>
    </row>
    <row r="51" spans="13:23" x14ac:dyDescent="0.25">
      <c r="M51" s="281" t="s">
        <v>35</v>
      </c>
      <c r="N51" s="282">
        <v>0</v>
      </c>
      <c r="O51" s="283">
        <v>0</v>
      </c>
      <c r="P51" s="283">
        <v>0</v>
      </c>
      <c r="Q51" s="283"/>
      <c r="R51" s="283"/>
      <c r="S51" s="282">
        <v>0</v>
      </c>
      <c r="T51" s="283">
        <v>0</v>
      </c>
      <c r="U51" s="283">
        <v>0</v>
      </c>
      <c r="V51" s="283"/>
      <c r="W51" s="286"/>
    </row>
    <row r="52" spans="13:23" x14ac:dyDescent="0.25">
      <c r="M52" s="281" t="s">
        <v>35</v>
      </c>
      <c r="N52" s="276"/>
      <c r="O52" s="277"/>
      <c r="P52" s="277"/>
      <c r="Q52" s="277"/>
      <c r="R52" s="277"/>
      <c r="S52" s="276"/>
      <c r="T52" s="277"/>
      <c r="U52" s="277"/>
      <c r="V52" s="277"/>
      <c r="W52" s="287"/>
    </row>
    <row r="53" spans="13:23" x14ac:dyDescent="0.25">
      <c r="M53" s="281" t="s">
        <v>35</v>
      </c>
      <c r="N53" s="276"/>
      <c r="O53" s="277"/>
      <c r="P53" s="277"/>
      <c r="Q53" s="277"/>
      <c r="R53" s="277"/>
      <c r="S53" s="276"/>
      <c r="T53" s="277"/>
      <c r="U53" s="277"/>
      <c r="V53" s="277"/>
      <c r="W53" s="287"/>
    </row>
    <row r="54" spans="13:23" x14ac:dyDescent="0.25">
      <c r="M54" s="281" t="s">
        <v>35</v>
      </c>
      <c r="N54" s="276"/>
      <c r="O54" s="277"/>
      <c r="P54" s="277"/>
      <c r="Q54" s="277"/>
      <c r="R54" s="277"/>
      <c r="S54" s="276"/>
      <c r="T54" s="277"/>
      <c r="U54" s="277"/>
      <c r="V54" s="277"/>
      <c r="W54" s="287"/>
    </row>
    <row r="55" spans="13:23" x14ac:dyDescent="0.25">
      <c r="M55" s="281" t="s">
        <v>35</v>
      </c>
      <c r="N55" s="276"/>
      <c r="O55" s="277"/>
      <c r="P55" s="277"/>
      <c r="Q55" s="277"/>
      <c r="R55" s="277"/>
      <c r="S55" s="276"/>
      <c r="T55" s="277"/>
      <c r="U55" s="277"/>
      <c r="V55" s="277"/>
      <c r="W55" s="287"/>
    </row>
    <row r="56" spans="13:23" x14ac:dyDescent="0.25">
      <c r="M56" s="281" t="s">
        <v>35</v>
      </c>
      <c r="N56" s="284"/>
      <c r="O56" s="285"/>
      <c r="P56" s="285"/>
      <c r="Q56" s="285"/>
      <c r="R56" s="285"/>
      <c r="S56" s="284"/>
      <c r="T56" s="285"/>
      <c r="U56" s="285"/>
      <c r="V56" s="285"/>
      <c r="W56" s="288"/>
    </row>
    <row r="57" spans="13:23" x14ac:dyDescent="0.25">
      <c r="M57" s="62"/>
    </row>
  </sheetData>
  <sheetProtection autoFilter="0"/>
  <protectedRanges>
    <protectedRange sqref="AF3" name="Диапазон1_1_1"/>
  </protectedRanges>
  <autoFilter ref="A2:AK57"/>
  <mergeCells count="5">
    <mergeCell ref="B1:F1"/>
    <mergeCell ref="G1:K1"/>
    <mergeCell ref="N1:R1"/>
    <mergeCell ref="S1:W1"/>
    <mergeCell ref="AG1:AK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DC323C"/>
  </sheetPr>
  <dimension ref="A1:AZ55"/>
  <sheetViews>
    <sheetView showGridLines="0" topLeftCell="Y1" zoomScale="110" zoomScaleNormal="110" workbookViewId="0">
      <pane ySplit="1" topLeftCell="A2" activePane="bottomLeft" state="frozen"/>
      <selection pane="bottomLeft" activeCell="S39" sqref="S39"/>
    </sheetView>
  </sheetViews>
  <sheetFormatPr defaultRowHeight="12.75" x14ac:dyDescent="0.2"/>
  <cols>
    <col min="1" max="1" width="32.7109375" style="404" customWidth="1"/>
    <col min="2" max="2" width="26.7109375" style="404" customWidth="1"/>
    <col min="3" max="3" width="33.7109375" style="404" customWidth="1"/>
    <col min="4" max="4" width="4.5703125" style="404" customWidth="1"/>
    <col min="5" max="5" width="3.85546875" style="404" customWidth="1"/>
    <col min="6" max="6" width="6.7109375" style="404" customWidth="1"/>
    <col min="7" max="7" width="8.28515625" style="404" customWidth="1"/>
    <col min="8" max="8" width="9.140625" style="404" customWidth="1"/>
    <col min="9" max="9" width="5.5703125" style="404" customWidth="1"/>
    <col min="10" max="10" width="8.5703125" style="404" customWidth="1"/>
    <col min="11" max="11" width="10.85546875" style="404" customWidth="1"/>
    <col min="12" max="12" width="8.85546875" style="404" customWidth="1"/>
    <col min="13" max="13" width="4.42578125" style="404" customWidth="1"/>
    <col min="14" max="14" width="2.5703125" style="404" customWidth="1"/>
    <col min="15" max="15" width="3.5703125" style="404" customWidth="1"/>
    <col min="16" max="16" width="2.42578125" style="404" customWidth="1"/>
    <col min="17" max="17" width="3.85546875" style="404" customWidth="1"/>
    <col min="18" max="18" width="27.85546875" style="404" customWidth="1"/>
    <col min="19" max="19" width="26.7109375" style="404" bestFit="1" customWidth="1"/>
    <col min="20" max="20" width="4.5703125" style="404" customWidth="1"/>
    <col min="21" max="21" width="37.7109375" style="404" customWidth="1"/>
    <col min="22" max="22" width="7.42578125" style="404" customWidth="1"/>
    <col min="23" max="23" width="3.85546875" style="404" customWidth="1"/>
    <col min="24" max="24" width="4.140625" style="404" customWidth="1"/>
    <col min="25" max="25" width="3.7109375" style="404" customWidth="1"/>
    <col min="26" max="26" width="3.28515625" style="404" customWidth="1"/>
    <col min="27" max="27" width="4" style="404" customWidth="1"/>
    <col min="28" max="28" width="32" style="404" customWidth="1"/>
    <col min="29" max="29" width="10.28515625" style="404" customWidth="1"/>
    <col min="30" max="30" width="8.85546875" style="404" customWidth="1"/>
    <col min="31" max="31" width="3.28515625" style="404" customWidth="1"/>
    <col min="32" max="33" width="7.7109375" style="404" customWidth="1"/>
    <col min="34" max="34" width="3.42578125" style="404" customWidth="1"/>
    <col min="35" max="35" width="8" style="404" customWidth="1"/>
    <col min="36" max="36" width="10.140625" style="404" customWidth="1"/>
    <col min="37" max="37" width="9.85546875" style="404" customWidth="1"/>
    <col min="38" max="38" width="4.42578125" style="404" customWidth="1"/>
    <col min="39" max="39" width="30.42578125" style="404" customWidth="1"/>
    <col min="40" max="40" width="9.5703125" style="404" customWidth="1"/>
    <col min="41" max="43" width="7.5703125" style="404" customWidth="1"/>
    <col min="44" max="44" width="5" style="404" customWidth="1"/>
    <col min="45" max="45" width="5.85546875" style="404" customWidth="1"/>
    <col min="46" max="46" width="5.42578125" style="404" customWidth="1"/>
    <col min="47" max="47" width="6" style="404" customWidth="1"/>
    <col min="48" max="48" width="4.5703125" style="404" customWidth="1"/>
    <col min="49" max="49" width="7.7109375" style="404" customWidth="1"/>
    <col min="50" max="50" width="12.28515625" style="404" customWidth="1"/>
    <col min="51" max="51" width="3.85546875" style="404" customWidth="1"/>
    <col min="52" max="52" width="21.28515625" style="404" bestFit="1" customWidth="1"/>
    <col min="53" max="16384" width="9.140625" style="404"/>
  </cols>
  <sheetData>
    <row r="1" spans="1:52" s="398" customFormat="1" ht="33.75" customHeight="1" x14ac:dyDescent="0.25">
      <c r="A1" s="396" t="s">
        <v>25</v>
      </c>
      <c r="B1" s="396" t="s">
        <v>26</v>
      </c>
      <c r="C1" s="396" t="s">
        <v>1</v>
      </c>
      <c r="D1" s="396" t="s">
        <v>27</v>
      </c>
      <c r="E1" s="396" t="s">
        <v>28</v>
      </c>
      <c r="F1" s="397" t="s">
        <v>15</v>
      </c>
      <c r="G1" s="396" t="s">
        <v>20</v>
      </c>
      <c r="H1" s="396" t="s">
        <v>29</v>
      </c>
      <c r="I1" s="396" t="s">
        <v>63</v>
      </c>
      <c r="J1" s="396" t="s">
        <v>37</v>
      </c>
      <c r="K1" s="396" t="s">
        <v>40</v>
      </c>
      <c r="L1" s="397" t="s">
        <v>42</v>
      </c>
      <c r="M1" s="396" t="s">
        <v>43</v>
      </c>
      <c r="N1" s="396" t="s">
        <v>64</v>
      </c>
      <c r="O1" s="396" t="s">
        <v>68</v>
      </c>
      <c r="P1" s="396" t="s">
        <v>70</v>
      </c>
      <c r="R1" s="396" t="s">
        <v>25</v>
      </c>
      <c r="S1" s="396" t="s">
        <v>26</v>
      </c>
      <c r="U1" s="396" t="s">
        <v>25</v>
      </c>
      <c r="V1" s="396" t="s">
        <v>3</v>
      </c>
      <c r="W1" s="396">
        <v>6</v>
      </c>
      <c r="X1" s="396">
        <v>12</v>
      </c>
      <c r="Y1" s="396">
        <v>18</v>
      </c>
      <c r="Z1" s="396">
        <v>24</v>
      </c>
      <c r="AB1" s="397" t="s">
        <v>25</v>
      </c>
      <c r="AC1" s="397" t="s">
        <v>7</v>
      </c>
      <c r="AD1" s="397" t="s">
        <v>8</v>
      </c>
      <c r="AF1" s="397" t="s">
        <v>126</v>
      </c>
      <c r="AG1" s="397" t="s">
        <v>76</v>
      </c>
      <c r="AI1" s="399" t="s">
        <v>127</v>
      </c>
      <c r="AJ1" s="399" t="s">
        <v>128</v>
      </c>
      <c r="AK1" s="399" t="s">
        <v>129</v>
      </c>
      <c r="AM1" s="396" t="s">
        <v>25</v>
      </c>
      <c r="AN1" s="397" t="s">
        <v>94</v>
      </c>
      <c r="AO1" s="396">
        <v>6</v>
      </c>
      <c r="AP1" s="396">
        <v>9</v>
      </c>
      <c r="AQ1" s="396">
        <v>12</v>
      </c>
      <c r="AR1" s="396">
        <v>24</v>
      </c>
      <c r="AS1" s="396">
        <v>36</v>
      </c>
      <c r="AT1" s="396">
        <v>48</v>
      </c>
      <c r="AU1" s="396">
        <v>60</v>
      </c>
      <c r="AW1" s="396" t="s">
        <v>144</v>
      </c>
      <c r="AX1" s="396" t="s">
        <v>145</v>
      </c>
      <c r="AZ1" s="396" t="s">
        <v>193</v>
      </c>
    </row>
    <row r="2" spans="1:52" x14ac:dyDescent="0.2">
      <c r="A2" s="400" t="s">
        <v>5</v>
      </c>
      <c r="B2" s="400" t="s">
        <v>14</v>
      </c>
      <c r="C2" s="400" t="s">
        <v>17</v>
      </c>
      <c r="D2" s="401">
        <v>0.85</v>
      </c>
      <c r="E2" s="401">
        <v>0</v>
      </c>
      <c r="F2" s="402">
        <v>0.21740000000000001</v>
      </c>
      <c r="G2" s="402">
        <v>-5.0000000000000001E-3</v>
      </c>
      <c r="H2" s="402" t="b">
        <v>0</v>
      </c>
      <c r="I2" s="402"/>
      <c r="J2" s="401">
        <v>0.85</v>
      </c>
      <c r="K2" s="403">
        <v>50000000</v>
      </c>
      <c r="L2" s="403">
        <v>300000</v>
      </c>
      <c r="M2" s="403">
        <v>3</v>
      </c>
      <c r="N2" s="402"/>
      <c r="O2" s="402"/>
      <c r="P2" s="402"/>
      <c r="R2" s="400" t="s">
        <v>5</v>
      </c>
      <c r="S2" s="400" t="s">
        <v>14</v>
      </c>
      <c r="U2" s="405" t="s">
        <v>5</v>
      </c>
      <c r="V2" s="400"/>
      <c r="W2" s="406"/>
      <c r="X2" s="406"/>
      <c r="Y2" s="406"/>
      <c r="Z2" s="406"/>
      <c r="AB2" s="400" t="s">
        <v>5</v>
      </c>
      <c r="AC2" s="402">
        <v>0</v>
      </c>
      <c r="AD2" s="402">
        <v>0</v>
      </c>
      <c r="AF2" s="400" t="s">
        <v>126</v>
      </c>
      <c r="AG2" s="402"/>
      <c r="AI2" s="407" t="s">
        <v>126</v>
      </c>
      <c r="AJ2" s="408">
        <v>0</v>
      </c>
      <c r="AK2" s="408">
        <v>0</v>
      </c>
      <c r="AM2" s="407" t="s">
        <v>6</v>
      </c>
      <c r="AN2" s="409"/>
      <c r="AO2" s="409"/>
      <c r="AP2" s="409"/>
      <c r="AQ2" s="409"/>
      <c r="AR2" s="409"/>
      <c r="AS2" s="409"/>
      <c r="AT2" s="409"/>
      <c r="AU2" s="409"/>
      <c r="AW2" s="410">
        <v>0</v>
      </c>
      <c r="AX2" s="411">
        <v>0.01</v>
      </c>
      <c r="AZ2" s="400" t="s">
        <v>194</v>
      </c>
    </row>
    <row r="3" spans="1:52" x14ac:dyDescent="0.2">
      <c r="A3" s="400" t="s">
        <v>5</v>
      </c>
      <c r="B3" s="400" t="s">
        <v>14</v>
      </c>
      <c r="C3" s="400" t="s">
        <v>17</v>
      </c>
      <c r="D3" s="401">
        <v>0.85</v>
      </c>
      <c r="E3" s="401">
        <v>0</v>
      </c>
      <c r="F3" s="402">
        <v>0.21740000000000001</v>
      </c>
      <c r="G3" s="402">
        <v>-5.0000000000000001E-3</v>
      </c>
      <c r="H3" s="402" t="b">
        <v>1</v>
      </c>
      <c r="I3" s="402"/>
      <c r="J3" s="401">
        <v>0.85</v>
      </c>
      <c r="K3" s="403">
        <v>50000000</v>
      </c>
      <c r="L3" s="403">
        <v>300000</v>
      </c>
      <c r="M3" s="403">
        <v>3</v>
      </c>
      <c r="N3" s="402"/>
      <c r="O3" s="402"/>
      <c r="P3" s="402"/>
      <c r="R3" s="400" t="s">
        <v>5</v>
      </c>
      <c r="S3" s="400" t="s">
        <v>24</v>
      </c>
      <c r="U3" s="405" t="s">
        <v>22</v>
      </c>
      <c r="V3" s="412"/>
      <c r="W3" s="412"/>
      <c r="X3" s="412"/>
      <c r="Y3" s="412"/>
      <c r="Z3" s="412"/>
      <c r="AA3" s="413"/>
      <c r="AB3" s="400" t="s">
        <v>5</v>
      </c>
      <c r="AC3" s="402">
        <v>0.17499999999999999</v>
      </c>
      <c r="AD3" s="402">
        <v>-4.7500000000000001E-2</v>
      </c>
      <c r="AF3" s="400" t="s">
        <v>126</v>
      </c>
      <c r="AG3" s="402">
        <v>0.29199999999999998</v>
      </c>
      <c r="AI3" s="407" t="s">
        <v>126</v>
      </c>
      <c r="AJ3" s="408">
        <v>0</v>
      </c>
      <c r="AK3" s="408">
        <v>0</v>
      </c>
      <c r="AM3" s="407" t="s">
        <v>62</v>
      </c>
      <c r="AN3" s="414"/>
      <c r="AO3" s="414"/>
      <c r="AP3" s="414"/>
      <c r="AQ3" s="414"/>
      <c r="AR3" s="414"/>
      <c r="AS3" s="414"/>
      <c r="AT3" s="414"/>
      <c r="AU3" s="414"/>
      <c r="AW3" s="410">
        <v>5.0000000000000001E-3</v>
      </c>
      <c r="AX3" s="410">
        <v>0</v>
      </c>
      <c r="AZ3" s="400" t="s">
        <v>195</v>
      </c>
    </row>
    <row r="4" spans="1:52" x14ac:dyDescent="0.2">
      <c r="A4" s="400" t="s">
        <v>5</v>
      </c>
      <c r="B4" s="400" t="s">
        <v>24</v>
      </c>
      <c r="C4" s="400" t="s">
        <v>17</v>
      </c>
      <c r="D4" s="401">
        <v>0.85</v>
      </c>
      <c r="E4" s="401">
        <v>0</v>
      </c>
      <c r="F4" s="402">
        <v>0.21740000000000001</v>
      </c>
      <c r="G4" s="402">
        <v>-5.0000000000000001E-3</v>
      </c>
      <c r="H4" s="402" t="b">
        <v>0</v>
      </c>
      <c r="I4" s="402"/>
      <c r="J4" s="401">
        <v>0.85</v>
      </c>
      <c r="K4" s="403">
        <v>50000000</v>
      </c>
      <c r="L4" s="403">
        <v>300000</v>
      </c>
      <c r="M4" s="403">
        <v>3</v>
      </c>
      <c r="N4" s="402"/>
      <c r="O4" s="402"/>
      <c r="P4" s="402"/>
      <c r="R4" s="400" t="s">
        <v>5</v>
      </c>
      <c r="S4" s="400" t="s">
        <v>30</v>
      </c>
      <c r="U4" s="406" t="s">
        <v>10</v>
      </c>
      <c r="V4" s="415">
        <v>0.8</v>
      </c>
      <c r="W4" s="411"/>
      <c r="X4" s="411"/>
      <c r="Y4" s="411"/>
      <c r="Z4" s="411"/>
      <c r="AA4" s="413"/>
      <c r="AB4" s="400" t="s">
        <v>5</v>
      </c>
      <c r="AC4" s="402">
        <v>0.19</v>
      </c>
      <c r="AD4" s="402">
        <v>-5.4899999999999997E-2</v>
      </c>
      <c r="AF4" s="400" t="s">
        <v>126</v>
      </c>
      <c r="AG4" s="402"/>
      <c r="AI4" s="407" t="s">
        <v>126</v>
      </c>
      <c r="AJ4" s="408">
        <v>0</v>
      </c>
      <c r="AK4" s="408">
        <v>0</v>
      </c>
      <c r="AM4" s="407" t="s">
        <v>38</v>
      </c>
      <c r="AN4" s="409"/>
      <c r="AO4" s="409"/>
      <c r="AP4" s="409"/>
      <c r="AQ4" s="409"/>
      <c r="AR4" s="409"/>
      <c r="AS4" s="409"/>
      <c r="AT4" s="409"/>
      <c r="AU4" s="409"/>
      <c r="AZ4" s="400" t="s">
        <v>225</v>
      </c>
    </row>
    <row r="5" spans="1:52" x14ac:dyDescent="0.2">
      <c r="A5" s="400" t="s">
        <v>5</v>
      </c>
      <c r="B5" s="400" t="s">
        <v>24</v>
      </c>
      <c r="C5" s="400" t="s">
        <v>17</v>
      </c>
      <c r="D5" s="401">
        <v>0.85</v>
      </c>
      <c r="E5" s="401">
        <v>0</v>
      </c>
      <c r="F5" s="402">
        <v>0.21740000000000001</v>
      </c>
      <c r="G5" s="402">
        <v>-5.0000000000000001E-3</v>
      </c>
      <c r="H5" s="402" t="b">
        <v>1</v>
      </c>
      <c r="I5" s="402"/>
      <c r="J5" s="401">
        <v>0.85</v>
      </c>
      <c r="K5" s="403">
        <v>50000000</v>
      </c>
      <c r="L5" s="403">
        <v>300000</v>
      </c>
      <c r="M5" s="403">
        <v>3</v>
      </c>
      <c r="N5" s="402"/>
      <c r="O5" s="402"/>
      <c r="P5" s="402"/>
      <c r="R5" s="407" t="s">
        <v>6</v>
      </c>
      <c r="S5" s="407" t="s">
        <v>14</v>
      </c>
      <c r="U5" s="405" t="s">
        <v>61</v>
      </c>
      <c r="V5" s="415"/>
      <c r="W5" s="411"/>
      <c r="X5" s="411"/>
      <c r="Y5" s="411"/>
      <c r="Z5" s="411"/>
      <c r="AA5" s="413"/>
      <c r="AB5" s="400" t="s">
        <v>5</v>
      </c>
      <c r="AC5" s="402">
        <v>0.22</v>
      </c>
      <c r="AD5" s="402">
        <v>-7.2499999999999995E-2</v>
      </c>
      <c r="AF5" s="400" t="s">
        <v>126</v>
      </c>
      <c r="AG5" s="402"/>
      <c r="AI5" s="407" t="s">
        <v>126</v>
      </c>
      <c r="AJ5" s="408">
        <v>0</v>
      </c>
      <c r="AK5" s="408">
        <v>0</v>
      </c>
      <c r="AM5" s="400" t="s">
        <v>10</v>
      </c>
      <c r="AN5" s="416"/>
      <c r="AO5" s="416">
        <v>0.19700000000000001</v>
      </c>
      <c r="AP5" s="416">
        <v>0.215</v>
      </c>
      <c r="AQ5" s="416"/>
      <c r="AR5" s="416"/>
      <c r="AS5" s="416"/>
      <c r="AT5" s="416"/>
      <c r="AU5" s="416"/>
      <c r="AZ5" s="400" t="s">
        <v>53</v>
      </c>
    </row>
    <row r="6" spans="1:52" x14ac:dyDescent="0.2">
      <c r="A6" s="400" t="s">
        <v>5</v>
      </c>
      <c r="B6" s="417" t="s">
        <v>30</v>
      </c>
      <c r="C6" s="400" t="s">
        <v>65</v>
      </c>
      <c r="D6" s="401">
        <v>0.7</v>
      </c>
      <c r="E6" s="401">
        <v>0</v>
      </c>
      <c r="F6" s="402">
        <v>0.21990000000000001</v>
      </c>
      <c r="G6" s="402"/>
      <c r="H6" s="402" t="b">
        <v>0</v>
      </c>
      <c r="I6" s="402"/>
      <c r="J6" s="401">
        <v>0.7</v>
      </c>
      <c r="K6" s="403">
        <v>50000000</v>
      </c>
      <c r="L6" s="403">
        <v>300000</v>
      </c>
      <c r="M6" s="403">
        <v>3</v>
      </c>
      <c r="N6" s="403"/>
      <c r="O6" s="403"/>
      <c r="P6" s="402"/>
      <c r="R6" s="400" t="s">
        <v>10</v>
      </c>
      <c r="S6" s="400" t="s">
        <v>14</v>
      </c>
      <c r="U6" s="405" t="s">
        <v>38</v>
      </c>
      <c r="V6" s="418"/>
      <c r="W6" s="418"/>
      <c r="X6" s="418"/>
      <c r="Y6" s="418"/>
      <c r="Z6" s="418"/>
      <c r="AA6" s="413"/>
      <c r="AB6" s="400" t="s">
        <v>5</v>
      </c>
      <c r="AC6" s="402">
        <v>0.27</v>
      </c>
      <c r="AD6" s="402">
        <v>-9.2499999999999999E-2</v>
      </c>
      <c r="AI6" s="407" t="s">
        <v>126</v>
      </c>
      <c r="AJ6" s="408">
        <v>0</v>
      </c>
      <c r="AK6" s="408">
        <v>0</v>
      </c>
      <c r="AM6" s="400" t="s">
        <v>61</v>
      </c>
      <c r="AN6" s="416"/>
      <c r="AO6" s="416">
        <v>0.19400000000000001</v>
      </c>
      <c r="AP6" s="416">
        <v>0.20050000000000001</v>
      </c>
      <c r="AQ6" s="416">
        <v>0.20699999999999999</v>
      </c>
      <c r="AR6" s="416"/>
      <c r="AS6" s="416"/>
      <c r="AT6" s="416"/>
      <c r="AU6" s="416"/>
      <c r="AZ6" s="400" t="s">
        <v>126</v>
      </c>
    </row>
    <row r="7" spans="1:52" x14ac:dyDescent="0.2">
      <c r="A7" s="400" t="s">
        <v>5</v>
      </c>
      <c r="B7" s="417" t="s">
        <v>30</v>
      </c>
      <c r="C7" s="400" t="s">
        <v>65</v>
      </c>
      <c r="D7" s="401">
        <v>0.7</v>
      </c>
      <c r="E7" s="401">
        <v>0</v>
      </c>
      <c r="F7" s="402">
        <v>0.21990000000000001</v>
      </c>
      <c r="G7" s="400"/>
      <c r="H7" s="402" t="b">
        <v>1</v>
      </c>
      <c r="I7" s="402"/>
      <c r="J7" s="401">
        <v>0.7</v>
      </c>
      <c r="K7" s="403">
        <v>50000000</v>
      </c>
      <c r="L7" s="403">
        <v>300000</v>
      </c>
      <c r="M7" s="403">
        <v>3</v>
      </c>
      <c r="N7" s="403"/>
      <c r="O7" s="403"/>
      <c r="P7" s="402"/>
      <c r="R7" s="407" t="s">
        <v>62</v>
      </c>
      <c r="S7" s="407" t="s">
        <v>14</v>
      </c>
      <c r="U7" s="405" t="s">
        <v>62</v>
      </c>
      <c r="V7" s="418"/>
      <c r="W7" s="418"/>
      <c r="X7" s="418"/>
      <c r="Y7" s="418"/>
      <c r="Z7" s="418"/>
      <c r="AA7" s="413"/>
      <c r="AB7" s="400" t="s">
        <v>5</v>
      </c>
      <c r="AC7" s="402"/>
      <c r="AD7" s="402"/>
      <c r="AM7" s="400" t="s">
        <v>30</v>
      </c>
      <c r="AN7" s="416"/>
      <c r="AO7" s="416">
        <v>0.1885</v>
      </c>
      <c r="AP7" s="416">
        <v>0.2475</v>
      </c>
      <c r="AQ7" s="416">
        <v>0.30249999999999999</v>
      </c>
      <c r="AR7" s="416"/>
      <c r="AS7" s="416"/>
      <c r="AT7" s="416"/>
      <c r="AU7" s="416"/>
    </row>
    <row r="8" spans="1:52" x14ac:dyDescent="0.2">
      <c r="A8" s="407" t="s">
        <v>6</v>
      </c>
      <c r="B8" s="407" t="s">
        <v>14</v>
      </c>
      <c r="C8" s="407" t="s">
        <v>18</v>
      </c>
      <c r="D8" s="419">
        <v>0.7</v>
      </c>
      <c r="E8" s="419">
        <v>0</v>
      </c>
      <c r="F8" s="408">
        <v>7.9899999999999999E-2</v>
      </c>
      <c r="G8" s="408"/>
      <c r="H8" s="408" t="b">
        <v>0</v>
      </c>
      <c r="I8" s="408"/>
      <c r="J8" s="419">
        <v>0.7</v>
      </c>
      <c r="K8" s="420">
        <v>6000000</v>
      </c>
      <c r="L8" s="420">
        <v>300000</v>
      </c>
      <c r="M8" s="420">
        <v>3</v>
      </c>
      <c r="N8" s="420"/>
      <c r="O8" s="420"/>
      <c r="P8" s="407"/>
      <c r="R8" s="400" t="s">
        <v>61</v>
      </c>
      <c r="S8" s="400" t="s">
        <v>14</v>
      </c>
      <c r="U8" s="405" t="s">
        <v>6</v>
      </c>
      <c r="V8" s="405"/>
      <c r="W8" s="405"/>
      <c r="X8" s="405"/>
      <c r="Y8" s="405"/>
      <c r="Z8" s="405"/>
      <c r="AB8" s="421" t="s">
        <v>10</v>
      </c>
      <c r="AC8" s="422">
        <v>0</v>
      </c>
      <c r="AD8" s="422">
        <v>0</v>
      </c>
      <c r="AM8" s="400" t="s">
        <v>5</v>
      </c>
      <c r="AN8" s="416"/>
      <c r="AO8" s="416">
        <v>0.1925</v>
      </c>
      <c r="AP8" s="416"/>
      <c r="AQ8" s="416"/>
      <c r="AR8" s="416"/>
      <c r="AS8" s="416"/>
      <c r="AT8" s="416"/>
      <c r="AU8" s="416"/>
    </row>
    <row r="9" spans="1:52" x14ac:dyDescent="0.2">
      <c r="A9" s="407" t="s">
        <v>6</v>
      </c>
      <c r="B9" s="407" t="s">
        <v>14</v>
      </c>
      <c r="C9" s="407" t="s">
        <v>18</v>
      </c>
      <c r="D9" s="419">
        <v>0.7</v>
      </c>
      <c r="E9" s="419">
        <v>0</v>
      </c>
      <c r="F9" s="408">
        <v>7.9899999999999999E-2</v>
      </c>
      <c r="G9" s="408"/>
      <c r="H9" s="408" t="b">
        <v>1</v>
      </c>
      <c r="I9" s="407"/>
      <c r="J9" s="419">
        <v>0.7</v>
      </c>
      <c r="K9" s="420">
        <v>6000000</v>
      </c>
      <c r="L9" s="420">
        <v>300000</v>
      </c>
      <c r="M9" s="420">
        <v>3</v>
      </c>
      <c r="N9" s="420"/>
      <c r="O9" s="420"/>
      <c r="P9" s="407"/>
      <c r="R9" s="400" t="s">
        <v>22</v>
      </c>
      <c r="S9" s="400" t="s">
        <v>14</v>
      </c>
      <c r="U9" s="405" t="s">
        <v>23</v>
      </c>
      <c r="V9" s="405"/>
      <c r="W9" s="405"/>
      <c r="X9" s="405"/>
      <c r="Y9" s="405"/>
      <c r="Z9" s="405"/>
      <c r="AB9" s="421" t="s">
        <v>10</v>
      </c>
      <c r="AC9" s="422"/>
      <c r="AD9" s="422"/>
    </row>
    <row r="10" spans="1:52" s="425" customFormat="1" ht="13.5" thickBot="1" x14ac:dyDescent="0.25">
      <c r="A10" s="406" t="s">
        <v>10</v>
      </c>
      <c r="B10" s="406" t="s">
        <v>14</v>
      </c>
      <c r="C10" s="406" t="s">
        <v>19</v>
      </c>
      <c r="D10" s="423">
        <v>0.8</v>
      </c>
      <c r="E10" s="423">
        <v>0</v>
      </c>
      <c r="F10" s="412">
        <v>5.9900000000000002E-2</v>
      </c>
      <c r="G10" s="412"/>
      <c r="H10" s="412" t="b">
        <v>0</v>
      </c>
      <c r="I10" s="412"/>
      <c r="J10" s="423">
        <v>0.8</v>
      </c>
      <c r="K10" s="424">
        <v>50000000</v>
      </c>
      <c r="L10" s="424">
        <v>300000</v>
      </c>
      <c r="M10" s="424">
        <v>3</v>
      </c>
      <c r="N10" s="424"/>
      <c r="O10" s="424"/>
      <c r="P10" s="406"/>
      <c r="R10" s="407" t="s">
        <v>22</v>
      </c>
      <c r="S10" s="407" t="s">
        <v>24</v>
      </c>
      <c r="U10" s="426" t="s">
        <v>35</v>
      </c>
      <c r="V10" s="426"/>
      <c r="W10" s="426"/>
      <c r="X10" s="426"/>
      <c r="Y10" s="426"/>
      <c r="Z10" s="426"/>
      <c r="AB10" s="421" t="s">
        <v>10</v>
      </c>
      <c r="AC10" s="422"/>
      <c r="AD10" s="422"/>
    </row>
    <row r="11" spans="1:52" s="425" customFormat="1" x14ac:dyDescent="0.2">
      <c r="A11" s="406" t="s">
        <v>10</v>
      </c>
      <c r="B11" s="406" t="s">
        <v>14</v>
      </c>
      <c r="C11" s="406" t="s">
        <v>19</v>
      </c>
      <c r="D11" s="423">
        <v>0.8</v>
      </c>
      <c r="E11" s="423">
        <v>0</v>
      </c>
      <c r="F11" s="412">
        <v>5.9900000000000002E-2</v>
      </c>
      <c r="G11" s="412"/>
      <c r="H11" s="412" t="b">
        <v>1</v>
      </c>
      <c r="I11" s="406"/>
      <c r="J11" s="423">
        <v>0.8</v>
      </c>
      <c r="K11" s="424">
        <v>30000000</v>
      </c>
      <c r="L11" s="424">
        <v>300000</v>
      </c>
      <c r="M11" s="424">
        <v>3</v>
      </c>
      <c r="N11" s="424"/>
      <c r="O11" s="424"/>
      <c r="P11" s="406"/>
      <c r="R11" s="407" t="s">
        <v>22</v>
      </c>
      <c r="S11" s="407" t="s">
        <v>30</v>
      </c>
      <c r="U11" s="427" t="s">
        <v>5</v>
      </c>
      <c r="V11" s="427"/>
      <c r="W11" s="427"/>
      <c r="X11" s="427"/>
      <c r="Y11" s="427"/>
      <c r="Z11" s="427"/>
      <c r="AB11" s="421" t="s">
        <v>10</v>
      </c>
      <c r="AC11" s="422"/>
      <c r="AD11" s="422"/>
    </row>
    <row r="12" spans="1:52" s="425" customFormat="1" x14ac:dyDescent="0.2">
      <c r="A12" s="407" t="s">
        <v>62</v>
      </c>
      <c r="B12" s="407" t="s">
        <v>14</v>
      </c>
      <c r="C12" s="407" t="s">
        <v>62</v>
      </c>
      <c r="D12" s="419">
        <v>0.8</v>
      </c>
      <c r="E12" s="419">
        <v>0</v>
      </c>
      <c r="F12" s="408">
        <v>4.99E-2</v>
      </c>
      <c r="G12" s="408"/>
      <c r="H12" s="408" t="b">
        <v>0</v>
      </c>
      <c r="I12" s="408"/>
      <c r="J12" s="419">
        <v>0.8</v>
      </c>
      <c r="K12" s="420">
        <v>50000000</v>
      </c>
      <c r="L12" s="420">
        <v>300000</v>
      </c>
      <c r="M12" s="420">
        <v>3</v>
      </c>
      <c r="N12" s="420"/>
      <c r="O12" s="420"/>
      <c r="P12" s="407"/>
      <c r="R12" s="407" t="s">
        <v>22</v>
      </c>
      <c r="S12" s="407" t="s">
        <v>71</v>
      </c>
      <c r="U12" s="407" t="s">
        <v>22</v>
      </c>
      <c r="V12" s="408"/>
      <c r="W12" s="408"/>
      <c r="X12" s="408"/>
      <c r="Y12" s="408"/>
      <c r="Z12" s="408"/>
      <c r="AB12" s="421" t="s">
        <v>10</v>
      </c>
      <c r="AC12" s="422"/>
      <c r="AD12" s="422"/>
    </row>
    <row r="13" spans="1:52" s="425" customFormat="1" x14ac:dyDescent="0.2">
      <c r="A13" s="407" t="s">
        <v>62</v>
      </c>
      <c r="B13" s="407" t="s">
        <v>14</v>
      </c>
      <c r="C13" s="407" t="s">
        <v>62</v>
      </c>
      <c r="D13" s="419">
        <v>0.8</v>
      </c>
      <c r="E13" s="419">
        <v>0</v>
      </c>
      <c r="F13" s="408">
        <v>4.99E-2</v>
      </c>
      <c r="G13" s="408"/>
      <c r="H13" s="408" t="b">
        <v>1</v>
      </c>
      <c r="I13" s="407"/>
      <c r="J13" s="419">
        <v>0.8</v>
      </c>
      <c r="K13" s="420">
        <v>30000000</v>
      </c>
      <c r="L13" s="420">
        <v>300000</v>
      </c>
      <c r="M13" s="420">
        <v>3</v>
      </c>
      <c r="N13" s="420"/>
      <c r="O13" s="420"/>
      <c r="P13" s="407"/>
      <c r="R13" s="407" t="s">
        <v>23</v>
      </c>
      <c r="S13" s="407" t="s">
        <v>14</v>
      </c>
      <c r="U13" s="406" t="s">
        <v>10</v>
      </c>
      <c r="V13" s="415">
        <v>0.8</v>
      </c>
      <c r="W13" s="411"/>
      <c r="X13" s="411"/>
      <c r="Y13" s="411"/>
      <c r="Z13" s="411"/>
      <c r="AB13" s="421" t="s">
        <v>10</v>
      </c>
      <c r="AC13" s="422"/>
      <c r="AD13" s="422"/>
    </row>
    <row r="14" spans="1:52" x14ac:dyDescent="0.2">
      <c r="A14" s="400" t="s">
        <v>61</v>
      </c>
      <c r="B14" s="400" t="s">
        <v>14</v>
      </c>
      <c r="C14" s="400" t="s">
        <v>61</v>
      </c>
      <c r="D14" s="401">
        <v>0.8</v>
      </c>
      <c r="E14" s="401">
        <v>0</v>
      </c>
      <c r="F14" s="402">
        <v>1.9900000000000001E-2</v>
      </c>
      <c r="G14" s="402"/>
      <c r="H14" s="402" t="b">
        <v>0</v>
      </c>
      <c r="I14" s="402"/>
      <c r="J14" s="401">
        <v>0.8</v>
      </c>
      <c r="K14" s="403">
        <v>6000000</v>
      </c>
      <c r="L14" s="403">
        <v>300000</v>
      </c>
      <c r="M14" s="403">
        <v>3</v>
      </c>
      <c r="N14" s="403"/>
      <c r="O14" s="403"/>
      <c r="P14" s="400"/>
      <c r="R14" s="400" t="s">
        <v>23</v>
      </c>
      <c r="S14" s="400" t="s">
        <v>24</v>
      </c>
      <c r="U14" s="405" t="s">
        <v>61</v>
      </c>
      <c r="V14" s="428"/>
      <c r="W14" s="429"/>
      <c r="X14" s="429"/>
      <c r="Y14" s="429"/>
      <c r="Z14" s="429"/>
      <c r="AB14" s="421" t="s">
        <v>62</v>
      </c>
      <c r="AC14" s="422">
        <v>0</v>
      </c>
      <c r="AD14" s="422">
        <v>0</v>
      </c>
    </row>
    <row r="15" spans="1:52" x14ac:dyDescent="0.2">
      <c r="A15" s="400" t="s">
        <v>61</v>
      </c>
      <c r="B15" s="400" t="s">
        <v>14</v>
      </c>
      <c r="C15" s="400" t="s">
        <v>61</v>
      </c>
      <c r="D15" s="401">
        <v>0.8</v>
      </c>
      <c r="E15" s="401">
        <v>0</v>
      </c>
      <c r="F15" s="402">
        <v>1.9900000000000001E-2</v>
      </c>
      <c r="G15" s="402"/>
      <c r="H15" s="402" t="b">
        <v>1</v>
      </c>
      <c r="I15" s="400"/>
      <c r="J15" s="401">
        <v>0.8</v>
      </c>
      <c r="K15" s="403">
        <v>6000000</v>
      </c>
      <c r="L15" s="403">
        <v>300000</v>
      </c>
      <c r="M15" s="403">
        <v>3</v>
      </c>
      <c r="N15" s="403"/>
      <c r="O15" s="403"/>
      <c r="P15" s="400"/>
      <c r="R15" s="400" t="s">
        <v>23</v>
      </c>
      <c r="S15" s="400" t="s">
        <v>30</v>
      </c>
      <c r="U15" s="405" t="s">
        <v>38</v>
      </c>
      <c r="V15" s="418"/>
      <c r="W15" s="418"/>
      <c r="X15" s="418"/>
      <c r="Y15" s="418"/>
      <c r="Z15" s="418"/>
      <c r="AB15" s="421" t="s">
        <v>62</v>
      </c>
      <c r="AC15" s="422"/>
      <c r="AD15" s="422"/>
    </row>
    <row r="16" spans="1:52" x14ac:dyDescent="0.2">
      <c r="A16" s="400" t="s">
        <v>22</v>
      </c>
      <c r="B16" s="400" t="s">
        <v>14</v>
      </c>
      <c r="C16" s="400" t="s">
        <v>16</v>
      </c>
      <c r="D16" s="401">
        <v>0.9</v>
      </c>
      <c r="E16" s="401">
        <v>0</v>
      </c>
      <c r="F16" s="402">
        <v>0.21740000000000001</v>
      </c>
      <c r="G16" s="402">
        <v>-5.0000000000000001E-3</v>
      </c>
      <c r="H16" s="402" t="b">
        <v>0</v>
      </c>
      <c r="I16" s="402"/>
      <c r="J16" s="430">
        <v>0.9</v>
      </c>
      <c r="K16" s="403">
        <v>50000000</v>
      </c>
      <c r="L16" s="403">
        <v>300000</v>
      </c>
      <c r="M16" s="403">
        <v>3</v>
      </c>
      <c r="N16" s="402"/>
      <c r="O16" s="402"/>
      <c r="P16" s="402"/>
      <c r="R16" s="400" t="s">
        <v>23</v>
      </c>
      <c r="S16" s="400" t="s">
        <v>71</v>
      </c>
      <c r="U16" s="405" t="s">
        <v>62</v>
      </c>
      <c r="V16" s="418"/>
      <c r="W16" s="418"/>
      <c r="X16" s="418"/>
      <c r="Y16" s="418"/>
      <c r="Z16" s="418"/>
      <c r="AB16" s="421" t="s">
        <v>62</v>
      </c>
      <c r="AC16" s="422"/>
      <c r="AD16" s="422"/>
    </row>
    <row r="17" spans="1:30" x14ac:dyDescent="0.2">
      <c r="A17" s="400" t="s">
        <v>22</v>
      </c>
      <c r="B17" s="400" t="s">
        <v>14</v>
      </c>
      <c r="C17" s="400" t="s">
        <v>16</v>
      </c>
      <c r="D17" s="401">
        <v>0.9</v>
      </c>
      <c r="E17" s="401">
        <v>0</v>
      </c>
      <c r="F17" s="402">
        <v>0.21740000000000001</v>
      </c>
      <c r="G17" s="402">
        <v>-5.0000000000000001E-3</v>
      </c>
      <c r="H17" s="402" t="b">
        <v>1</v>
      </c>
      <c r="I17" s="402"/>
      <c r="J17" s="430">
        <v>0.9</v>
      </c>
      <c r="K17" s="403">
        <v>50000000</v>
      </c>
      <c r="L17" s="403">
        <v>300000</v>
      </c>
      <c r="M17" s="403">
        <v>3</v>
      </c>
      <c r="N17" s="402"/>
      <c r="O17" s="402"/>
      <c r="P17" s="402"/>
      <c r="R17" s="400" t="s">
        <v>35</v>
      </c>
      <c r="S17" s="400" t="s">
        <v>14</v>
      </c>
      <c r="U17" s="405" t="s">
        <v>6</v>
      </c>
      <c r="V17" s="405"/>
      <c r="W17" s="405"/>
      <c r="X17" s="405"/>
      <c r="Y17" s="405"/>
      <c r="Z17" s="405"/>
      <c r="AB17" s="421" t="s">
        <v>62</v>
      </c>
      <c r="AC17" s="422"/>
      <c r="AD17" s="422"/>
    </row>
    <row r="18" spans="1:30" x14ac:dyDescent="0.2">
      <c r="A18" s="400" t="s">
        <v>22</v>
      </c>
      <c r="B18" s="400" t="s">
        <v>24</v>
      </c>
      <c r="C18" s="400" t="s">
        <v>17</v>
      </c>
      <c r="D18" s="401">
        <v>0.9</v>
      </c>
      <c r="E18" s="401">
        <v>0</v>
      </c>
      <c r="F18" s="402">
        <v>0.21740000000000001</v>
      </c>
      <c r="G18" s="402">
        <v>-5.0000000000000001E-3</v>
      </c>
      <c r="H18" s="402" t="b">
        <v>0</v>
      </c>
      <c r="I18" s="402"/>
      <c r="J18" s="430">
        <v>0.9</v>
      </c>
      <c r="K18" s="403">
        <v>50000000</v>
      </c>
      <c r="L18" s="403">
        <v>300000</v>
      </c>
      <c r="M18" s="403">
        <v>3</v>
      </c>
      <c r="N18" s="402"/>
      <c r="O18" s="402"/>
      <c r="P18" s="402"/>
      <c r="R18" s="406" t="s">
        <v>38</v>
      </c>
      <c r="S18" s="406" t="s">
        <v>14</v>
      </c>
      <c r="U18" s="405" t="s">
        <v>23</v>
      </c>
      <c r="V18" s="405"/>
      <c r="W18" s="405"/>
      <c r="X18" s="405"/>
      <c r="Y18" s="405"/>
      <c r="Z18" s="405"/>
      <c r="AB18" s="421" t="s">
        <v>62</v>
      </c>
      <c r="AC18" s="422"/>
      <c r="AD18" s="422"/>
    </row>
    <row r="19" spans="1:30" ht="13.5" thickBot="1" x14ac:dyDescent="0.25">
      <c r="A19" s="400" t="s">
        <v>22</v>
      </c>
      <c r="B19" s="400" t="s">
        <v>24</v>
      </c>
      <c r="C19" s="400" t="s">
        <v>17</v>
      </c>
      <c r="D19" s="401">
        <v>0.9</v>
      </c>
      <c r="E19" s="401">
        <v>0</v>
      </c>
      <c r="F19" s="402">
        <v>0.21740000000000001</v>
      </c>
      <c r="G19" s="402">
        <v>-5.0000000000000001E-3</v>
      </c>
      <c r="H19" s="402" t="b">
        <v>1</v>
      </c>
      <c r="I19" s="402"/>
      <c r="J19" s="430">
        <v>0.9</v>
      </c>
      <c r="K19" s="403">
        <v>50000000</v>
      </c>
      <c r="L19" s="403">
        <v>300000</v>
      </c>
      <c r="M19" s="403">
        <v>3</v>
      </c>
      <c r="N19" s="402"/>
      <c r="O19" s="402"/>
      <c r="P19" s="402"/>
      <c r="U19" s="405" t="s">
        <v>35</v>
      </c>
      <c r="V19" s="405"/>
      <c r="W19" s="405"/>
      <c r="X19" s="405"/>
      <c r="Y19" s="405"/>
      <c r="Z19" s="405"/>
      <c r="AB19" s="421" t="s">
        <v>62</v>
      </c>
      <c r="AC19" s="422"/>
      <c r="AD19" s="422"/>
    </row>
    <row r="20" spans="1:30" x14ac:dyDescent="0.2">
      <c r="A20" s="400" t="s">
        <v>22</v>
      </c>
      <c r="B20" s="417" t="s">
        <v>30</v>
      </c>
      <c r="C20" s="400" t="s">
        <v>73</v>
      </c>
      <c r="D20" s="401">
        <v>0.7</v>
      </c>
      <c r="E20" s="401">
        <v>0</v>
      </c>
      <c r="F20" s="402">
        <v>0.21990000000000001</v>
      </c>
      <c r="G20" s="402"/>
      <c r="H20" s="402" t="b">
        <v>0</v>
      </c>
      <c r="I20" s="402"/>
      <c r="J20" s="401">
        <v>0.7</v>
      </c>
      <c r="K20" s="403">
        <v>50000000</v>
      </c>
      <c r="L20" s="403">
        <v>300000</v>
      </c>
      <c r="M20" s="403">
        <v>3</v>
      </c>
      <c r="N20" s="403"/>
      <c r="O20" s="403"/>
      <c r="P20" s="402"/>
      <c r="U20" s="427" t="s">
        <v>5</v>
      </c>
      <c r="V20" s="427"/>
      <c r="W20" s="427"/>
      <c r="X20" s="427"/>
      <c r="Y20" s="427"/>
      <c r="Z20" s="427"/>
      <c r="AB20" s="407" t="s">
        <v>61</v>
      </c>
      <c r="AC20" s="408">
        <v>0</v>
      </c>
      <c r="AD20" s="408">
        <v>0</v>
      </c>
    </row>
    <row r="21" spans="1:30" x14ac:dyDescent="0.2">
      <c r="A21" s="400" t="s">
        <v>22</v>
      </c>
      <c r="B21" s="417" t="s">
        <v>30</v>
      </c>
      <c r="C21" s="400" t="s">
        <v>73</v>
      </c>
      <c r="D21" s="401">
        <v>0.7</v>
      </c>
      <c r="E21" s="401">
        <v>0</v>
      </c>
      <c r="F21" s="402">
        <v>0.21990000000000001</v>
      </c>
      <c r="G21" s="400"/>
      <c r="H21" s="402" t="b">
        <v>1</v>
      </c>
      <c r="I21" s="402"/>
      <c r="J21" s="401">
        <v>0.7</v>
      </c>
      <c r="K21" s="403">
        <v>50000000</v>
      </c>
      <c r="L21" s="403">
        <v>300000</v>
      </c>
      <c r="M21" s="403">
        <v>3</v>
      </c>
      <c r="N21" s="403"/>
      <c r="O21" s="403"/>
      <c r="P21" s="402"/>
      <c r="U21" s="407" t="s">
        <v>22</v>
      </c>
      <c r="V21" s="408"/>
      <c r="W21" s="408"/>
      <c r="X21" s="408"/>
      <c r="Y21" s="408"/>
      <c r="Z21" s="408"/>
      <c r="AB21" s="407" t="s">
        <v>61</v>
      </c>
      <c r="AC21" s="408"/>
      <c r="AD21" s="408"/>
    </row>
    <row r="22" spans="1:30" x14ac:dyDescent="0.2">
      <c r="A22" s="400" t="s">
        <v>22</v>
      </c>
      <c r="B22" s="400" t="s">
        <v>71</v>
      </c>
      <c r="C22" s="400" t="s">
        <v>219</v>
      </c>
      <c r="D22" s="401">
        <v>0.7</v>
      </c>
      <c r="E22" s="401">
        <v>0</v>
      </c>
      <c r="F22" s="402">
        <v>0.21740000000000001</v>
      </c>
      <c r="G22" s="402">
        <v>-5.0000000000000001E-3</v>
      </c>
      <c r="H22" s="402" t="b">
        <v>0</v>
      </c>
      <c r="I22" s="402"/>
      <c r="J22" s="401">
        <v>0.7</v>
      </c>
      <c r="K22" s="403">
        <v>50000000</v>
      </c>
      <c r="L22" s="403">
        <v>300000</v>
      </c>
      <c r="M22" s="403">
        <v>3</v>
      </c>
      <c r="N22" s="403"/>
      <c r="O22" s="403"/>
      <c r="P22" s="402"/>
      <c r="U22" s="406" t="s">
        <v>10</v>
      </c>
      <c r="V22" s="415">
        <v>0.8</v>
      </c>
      <c r="W22" s="411"/>
      <c r="X22" s="411"/>
      <c r="Y22" s="411"/>
      <c r="Z22" s="411"/>
      <c r="AB22" s="407" t="s">
        <v>61</v>
      </c>
      <c r="AC22" s="408"/>
      <c r="AD22" s="408"/>
    </row>
    <row r="23" spans="1:30" x14ac:dyDescent="0.2">
      <c r="A23" s="400" t="s">
        <v>22</v>
      </c>
      <c r="B23" s="400" t="s">
        <v>71</v>
      </c>
      <c r="C23" s="400" t="s">
        <v>219</v>
      </c>
      <c r="D23" s="401">
        <v>0.7</v>
      </c>
      <c r="E23" s="401">
        <v>0</v>
      </c>
      <c r="F23" s="402">
        <v>0.21740000000000001</v>
      </c>
      <c r="G23" s="402">
        <v>-5.0000000000000001E-3</v>
      </c>
      <c r="H23" s="402" t="b">
        <v>1</v>
      </c>
      <c r="I23" s="402"/>
      <c r="J23" s="401">
        <v>0.7</v>
      </c>
      <c r="K23" s="403">
        <v>50000000</v>
      </c>
      <c r="L23" s="403">
        <v>300000</v>
      </c>
      <c r="M23" s="403">
        <v>3</v>
      </c>
      <c r="N23" s="403"/>
      <c r="O23" s="403"/>
      <c r="P23" s="402"/>
      <c r="U23" s="405" t="s">
        <v>61</v>
      </c>
      <c r="V23" s="428"/>
      <c r="W23" s="429"/>
      <c r="X23" s="429"/>
      <c r="Y23" s="429"/>
      <c r="Z23" s="429"/>
      <c r="AB23" s="407" t="s">
        <v>61</v>
      </c>
      <c r="AC23" s="408"/>
      <c r="AD23" s="408"/>
    </row>
    <row r="24" spans="1:30" x14ac:dyDescent="0.2">
      <c r="A24" s="400" t="s">
        <v>23</v>
      </c>
      <c r="B24" s="400" t="s">
        <v>14</v>
      </c>
      <c r="C24" s="400" t="s">
        <v>17</v>
      </c>
      <c r="D24" s="401">
        <v>0.8</v>
      </c>
      <c r="E24" s="401">
        <v>0.5</v>
      </c>
      <c r="F24" s="402">
        <v>0.21740000000000001</v>
      </c>
      <c r="G24" s="402">
        <v>-5.0000000000000001E-3</v>
      </c>
      <c r="H24" s="402" t="b">
        <v>0</v>
      </c>
      <c r="I24" s="402"/>
      <c r="J24" s="430">
        <v>0.8</v>
      </c>
      <c r="K24" s="403">
        <v>50000000</v>
      </c>
      <c r="L24" s="403">
        <v>300000</v>
      </c>
      <c r="M24" s="403">
        <v>3</v>
      </c>
      <c r="N24" s="402"/>
      <c r="O24" s="402"/>
      <c r="P24" s="402"/>
      <c r="U24" s="405" t="s">
        <v>38</v>
      </c>
      <c r="V24" s="418"/>
      <c r="W24" s="418"/>
      <c r="X24" s="418"/>
      <c r="Y24" s="418"/>
      <c r="Z24" s="418"/>
      <c r="AB24" s="407" t="s">
        <v>61</v>
      </c>
      <c r="AC24" s="408"/>
      <c r="AD24" s="408"/>
    </row>
    <row r="25" spans="1:30" x14ac:dyDescent="0.2">
      <c r="A25" s="400" t="s">
        <v>23</v>
      </c>
      <c r="B25" s="400" t="s">
        <v>14</v>
      </c>
      <c r="C25" s="400" t="s">
        <v>17</v>
      </c>
      <c r="D25" s="401">
        <v>0.8</v>
      </c>
      <c r="E25" s="401">
        <v>0.5</v>
      </c>
      <c r="F25" s="402">
        <v>0.21740000000000001</v>
      </c>
      <c r="G25" s="402">
        <v>-5.0000000000000001E-3</v>
      </c>
      <c r="H25" s="402" t="b">
        <v>1</v>
      </c>
      <c r="I25" s="402"/>
      <c r="J25" s="430">
        <v>0.8</v>
      </c>
      <c r="K25" s="403">
        <v>50000000</v>
      </c>
      <c r="L25" s="403">
        <v>300000</v>
      </c>
      <c r="M25" s="403">
        <v>3</v>
      </c>
      <c r="N25" s="402"/>
      <c r="O25" s="402"/>
      <c r="P25" s="402"/>
      <c r="U25" s="405" t="s">
        <v>62</v>
      </c>
      <c r="V25" s="418"/>
      <c r="W25" s="418"/>
      <c r="X25" s="418"/>
      <c r="Y25" s="418"/>
      <c r="Z25" s="418"/>
      <c r="AB25" s="407" t="s">
        <v>61</v>
      </c>
      <c r="AC25" s="408"/>
      <c r="AD25" s="408"/>
    </row>
    <row r="26" spans="1:30" x14ac:dyDescent="0.2">
      <c r="A26" s="400" t="s">
        <v>23</v>
      </c>
      <c r="B26" s="400" t="s">
        <v>24</v>
      </c>
      <c r="C26" s="400" t="s">
        <v>17</v>
      </c>
      <c r="D26" s="401">
        <v>0.8</v>
      </c>
      <c r="E26" s="401">
        <v>0.5</v>
      </c>
      <c r="F26" s="402">
        <v>0.21740000000000001</v>
      </c>
      <c r="G26" s="402">
        <v>-5.0000000000000001E-3</v>
      </c>
      <c r="H26" s="402" t="b">
        <v>0</v>
      </c>
      <c r="I26" s="402"/>
      <c r="J26" s="430">
        <v>0.8</v>
      </c>
      <c r="K26" s="403">
        <v>50000000</v>
      </c>
      <c r="L26" s="403">
        <v>300000</v>
      </c>
      <c r="M26" s="403">
        <v>3</v>
      </c>
      <c r="N26" s="402"/>
      <c r="O26" s="402"/>
      <c r="P26" s="402"/>
      <c r="U26" s="405" t="s">
        <v>6</v>
      </c>
      <c r="V26" s="405"/>
      <c r="W26" s="405"/>
      <c r="X26" s="405"/>
      <c r="Y26" s="405"/>
      <c r="Z26" s="405"/>
      <c r="AB26" s="421" t="s">
        <v>6</v>
      </c>
      <c r="AC26" s="422">
        <v>0</v>
      </c>
      <c r="AD26" s="422">
        <v>0</v>
      </c>
    </row>
    <row r="27" spans="1:30" x14ac:dyDescent="0.2">
      <c r="A27" s="400" t="s">
        <v>23</v>
      </c>
      <c r="B27" s="400" t="s">
        <v>24</v>
      </c>
      <c r="C27" s="400" t="s">
        <v>17</v>
      </c>
      <c r="D27" s="401">
        <v>0.8</v>
      </c>
      <c r="E27" s="401">
        <v>0.5</v>
      </c>
      <c r="F27" s="402">
        <v>0.21740000000000001</v>
      </c>
      <c r="G27" s="402">
        <v>-5.0000000000000001E-3</v>
      </c>
      <c r="H27" s="402" t="b">
        <v>1</v>
      </c>
      <c r="I27" s="402"/>
      <c r="J27" s="430">
        <v>0.8</v>
      </c>
      <c r="K27" s="403">
        <v>50000000</v>
      </c>
      <c r="L27" s="403">
        <v>300000</v>
      </c>
      <c r="M27" s="403">
        <v>3</v>
      </c>
      <c r="N27" s="402"/>
      <c r="O27" s="402"/>
      <c r="P27" s="402"/>
      <c r="U27" s="405" t="s">
        <v>23</v>
      </c>
      <c r="V27" s="405"/>
      <c r="W27" s="405"/>
      <c r="X27" s="405"/>
      <c r="Y27" s="405"/>
      <c r="Z27" s="405"/>
      <c r="AB27" s="421" t="s">
        <v>6</v>
      </c>
      <c r="AC27" s="422"/>
      <c r="AD27" s="422"/>
    </row>
    <row r="28" spans="1:30" x14ac:dyDescent="0.2">
      <c r="A28" s="400" t="s">
        <v>23</v>
      </c>
      <c r="B28" s="417" t="s">
        <v>30</v>
      </c>
      <c r="C28" s="400" t="s">
        <v>65</v>
      </c>
      <c r="D28" s="401">
        <v>0.7</v>
      </c>
      <c r="E28" s="401">
        <v>0</v>
      </c>
      <c r="F28" s="402">
        <v>0.21990000000000001</v>
      </c>
      <c r="G28" s="400"/>
      <c r="H28" s="402" t="b">
        <v>0</v>
      </c>
      <c r="I28" s="402"/>
      <c r="J28" s="401">
        <v>0.7</v>
      </c>
      <c r="K28" s="403">
        <v>50000000</v>
      </c>
      <c r="L28" s="403">
        <v>300000</v>
      </c>
      <c r="M28" s="403">
        <v>3</v>
      </c>
      <c r="N28" s="403"/>
      <c r="O28" s="403"/>
      <c r="P28" s="402"/>
      <c r="U28" s="405" t="s">
        <v>35</v>
      </c>
      <c r="V28" s="405"/>
      <c r="W28" s="405"/>
      <c r="X28" s="405"/>
      <c r="Y28" s="405"/>
      <c r="Z28" s="405"/>
      <c r="AB28" s="421" t="s">
        <v>6</v>
      </c>
      <c r="AC28" s="422"/>
      <c r="AD28" s="422"/>
    </row>
    <row r="29" spans="1:30" x14ac:dyDescent="0.2">
      <c r="A29" s="400" t="s">
        <v>23</v>
      </c>
      <c r="B29" s="417" t="s">
        <v>30</v>
      </c>
      <c r="C29" s="400" t="s">
        <v>65</v>
      </c>
      <c r="D29" s="401">
        <v>0.7</v>
      </c>
      <c r="E29" s="401">
        <v>0</v>
      </c>
      <c r="F29" s="402">
        <v>0.21990000000000001</v>
      </c>
      <c r="G29" s="400"/>
      <c r="H29" s="402" t="b">
        <v>1</v>
      </c>
      <c r="I29" s="402"/>
      <c r="J29" s="401">
        <v>0.7</v>
      </c>
      <c r="K29" s="403">
        <v>50000000</v>
      </c>
      <c r="L29" s="403">
        <v>300000</v>
      </c>
      <c r="M29" s="403">
        <v>3</v>
      </c>
      <c r="N29" s="403"/>
      <c r="O29" s="403"/>
      <c r="P29" s="402"/>
      <c r="AB29" s="421" t="s">
        <v>6</v>
      </c>
      <c r="AC29" s="422"/>
      <c r="AD29" s="422"/>
    </row>
    <row r="30" spans="1:30" x14ac:dyDescent="0.2">
      <c r="A30" s="400" t="s">
        <v>23</v>
      </c>
      <c r="B30" s="400" t="s">
        <v>71</v>
      </c>
      <c r="C30" s="400" t="s">
        <v>72</v>
      </c>
      <c r="D30" s="401">
        <v>0.6</v>
      </c>
      <c r="E30" s="401">
        <v>0</v>
      </c>
      <c r="F30" s="402">
        <v>0.21740000000000001</v>
      </c>
      <c r="G30" s="402">
        <v>-5.0000000000000001E-3</v>
      </c>
      <c r="H30" s="402" t="b">
        <v>0</v>
      </c>
      <c r="I30" s="402"/>
      <c r="J30" s="401">
        <v>0.6</v>
      </c>
      <c r="K30" s="403">
        <v>50000000</v>
      </c>
      <c r="L30" s="403">
        <v>300000</v>
      </c>
      <c r="M30" s="403">
        <v>3</v>
      </c>
      <c r="N30" s="403"/>
      <c r="O30" s="403"/>
      <c r="P30" s="402"/>
      <c r="AB30" s="421" t="s">
        <v>6</v>
      </c>
      <c r="AC30" s="422"/>
      <c r="AD30" s="422"/>
    </row>
    <row r="31" spans="1:30" x14ac:dyDescent="0.2">
      <c r="A31" s="400" t="s">
        <v>23</v>
      </c>
      <c r="B31" s="400" t="s">
        <v>71</v>
      </c>
      <c r="C31" s="400" t="s">
        <v>72</v>
      </c>
      <c r="D31" s="401">
        <v>0.6</v>
      </c>
      <c r="E31" s="401">
        <v>0</v>
      </c>
      <c r="F31" s="402">
        <v>0.21740000000000001</v>
      </c>
      <c r="G31" s="402">
        <v>-5.0000000000000001E-3</v>
      </c>
      <c r="H31" s="402" t="b">
        <v>1</v>
      </c>
      <c r="I31" s="402"/>
      <c r="J31" s="401">
        <v>0.6</v>
      </c>
      <c r="K31" s="403">
        <v>50000000</v>
      </c>
      <c r="L31" s="403">
        <v>300000</v>
      </c>
      <c r="M31" s="403">
        <v>3</v>
      </c>
      <c r="N31" s="403"/>
      <c r="O31" s="403"/>
      <c r="P31" s="402"/>
      <c r="AB31" s="421" t="s">
        <v>6</v>
      </c>
      <c r="AC31" s="422"/>
      <c r="AD31" s="422"/>
    </row>
    <row r="32" spans="1:30" x14ac:dyDescent="0.2">
      <c r="A32" s="406" t="s">
        <v>35</v>
      </c>
      <c r="B32" s="406" t="s">
        <v>14</v>
      </c>
      <c r="C32" s="406" t="s">
        <v>36</v>
      </c>
      <c r="D32" s="423">
        <v>0.8</v>
      </c>
      <c r="E32" s="423">
        <v>0</v>
      </c>
      <c r="F32" s="412">
        <v>5.9900000000000002E-2</v>
      </c>
      <c r="G32" s="406"/>
      <c r="H32" s="412" t="b">
        <v>0</v>
      </c>
      <c r="I32" s="412"/>
      <c r="J32" s="423">
        <v>0.8</v>
      </c>
      <c r="K32" s="424">
        <v>12000000</v>
      </c>
      <c r="L32" s="424">
        <v>300000</v>
      </c>
      <c r="M32" s="424">
        <v>3</v>
      </c>
      <c r="N32" s="424"/>
      <c r="O32" s="424"/>
      <c r="P32" s="406"/>
      <c r="AB32" s="421" t="s">
        <v>38</v>
      </c>
      <c r="AC32" s="422">
        <v>0</v>
      </c>
      <c r="AD32" s="422">
        <v>0</v>
      </c>
    </row>
    <row r="33" spans="1:30" x14ac:dyDescent="0.2">
      <c r="A33" s="406" t="s">
        <v>35</v>
      </c>
      <c r="B33" s="406" t="s">
        <v>14</v>
      </c>
      <c r="C33" s="406" t="s">
        <v>36</v>
      </c>
      <c r="D33" s="423">
        <v>0.8</v>
      </c>
      <c r="E33" s="423">
        <v>0</v>
      </c>
      <c r="F33" s="412">
        <v>5.9900000000000002E-2</v>
      </c>
      <c r="G33" s="406"/>
      <c r="H33" s="412" t="b">
        <v>1</v>
      </c>
      <c r="I33" s="406"/>
      <c r="J33" s="423">
        <v>0.8</v>
      </c>
      <c r="K33" s="424">
        <v>12000000</v>
      </c>
      <c r="L33" s="424">
        <v>300000</v>
      </c>
      <c r="M33" s="424">
        <v>3</v>
      </c>
      <c r="N33" s="424"/>
      <c r="O33" s="424"/>
      <c r="P33" s="406"/>
      <c r="AB33" s="421" t="s">
        <v>38</v>
      </c>
      <c r="AC33" s="422"/>
      <c r="AD33" s="422"/>
    </row>
    <row r="34" spans="1:30" x14ac:dyDescent="0.2">
      <c r="A34" s="406" t="s">
        <v>38</v>
      </c>
      <c r="B34" s="406" t="s">
        <v>14</v>
      </c>
      <c r="C34" s="406" t="s">
        <v>39</v>
      </c>
      <c r="D34" s="423">
        <v>0.8</v>
      </c>
      <c r="E34" s="423">
        <v>0</v>
      </c>
      <c r="F34" s="412">
        <v>0.06</v>
      </c>
      <c r="G34" s="412"/>
      <c r="H34" s="412" t="b">
        <v>0</v>
      </c>
      <c r="I34" s="406"/>
      <c r="J34" s="423">
        <v>0.8</v>
      </c>
      <c r="K34" s="424">
        <v>30000000</v>
      </c>
      <c r="L34" s="424">
        <v>300000</v>
      </c>
      <c r="M34" s="424">
        <v>3</v>
      </c>
      <c r="N34" s="424"/>
      <c r="O34" s="424"/>
      <c r="P34" s="406"/>
      <c r="AB34" s="421" t="s">
        <v>38</v>
      </c>
      <c r="AC34" s="422"/>
      <c r="AD34" s="422"/>
    </row>
    <row r="35" spans="1:30" x14ac:dyDescent="0.2">
      <c r="A35" s="406" t="s">
        <v>38</v>
      </c>
      <c r="B35" s="406" t="s">
        <v>14</v>
      </c>
      <c r="C35" s="406" t="s">
        <v>39</v>
      </c>
      <c r="D35" s="423">
        <v>0.8</v>
      </c>
      <c r="E35" s="423">
        <v>0</v>
      </c>
      <c r="F35" s="412">
        <v>0.06</v>
      </c>
      <c r="G35" s="412"/>
      <c r="H35" s="412" t="b">
        <v>1</v>
      </c>
      <c r="I35" s="406"/>
      <c r="J35" s="423">
        <v>0.8</v>
      </c>
      <c r="K35" s="424">
        <v>30000000</v>
      </c>
      <c r="L35" s="424">
        <v>300000</v>
      </c>
      <c r="M35" s="424">
        <v>3</v>
      </c>
      <c r="N35" s="424"/>
      <c r="O35" s="424"/>
      <c r="P35" s="406"/>
      <c r="AB35" s="421" t="s">
        <v>38</v>
      </c>
      <c r="AC35" s="422"/>
      <c r="AD35" s="422"/>
    </row>
    <row r="36" spans="1:30" x14ac:dyDescent="0.2">
      <c r="D36" s="431"/>
      <c r="E36" s="431"/>
      <c r="F36" s="413"/>
      <c r="H36" s="413"/>
      <c r="J36" s="432"/>
      <c r="K36" s="433"/>
      <c r="L36" s="433"/>
      <c r="M36" s="433"/>
      <c r="N36" s="433"/>
      <c r="O36" s="433"/>
      <c r="AB36" s="421" t="s">
        <v>38</v>
      </c>
      <c r="AC36" s="422"/>
      <c r="AD36" s="422"/>
    </row>
    <row r="37" spans="1:30" x14ac:dyDescent="0.2">
      <c r="AB37" s="421" t="s">
        <v>38</v>
      </c>
      <c r="AC37" s="422"/>
      <c r="AD37" s="422"/>
    </row>
    <row r="38" spans="1:30" x14ac:dyDescent="0.2">
      <c r="AB38" s="400" t="s">
        <v>22</v>
      </c>
      <c r="AC38" s="402">
        <v>0</v>
      </c>
      <c r="AD38" s="402">
        <v>0</v>
      </c>
    </row>
    <row r="39" spans="1:30" x14ac:dyDescent="0.2">
      <c r="AB39" s="400" t="s">
        <v>22</v>
      </c>
      <c r="AC39" s="402">
        <v>0.17499999999999999</v>
      </c>
      <c r="AD39" s="402">
        <v>-4.7500000000000001E-2</v>
      </c>
    </row>
    <row r="40" spans="1:30" x14ac:dyDescent="0.2">
      <c r="AB40" s="400" t="s">
        <v>22</v>
      </c>
      <c r="AC40" s="402">
        <v>0.19</v>
      </c>
      <c r="AD40" s="402">
        <v>-5.4899999999999997E-2</v>
      </c>
    </row>
    <row r="41" spans="1:30" x14ac:dyDescent="0.2">
      <c r="AB41" s="400" t="s">
        <v>22</v>
      </c>
      <c r="AC41" s="402">
        <v>0.22</v>
      </c>
      <c r="AD41" s="402">
        <v>-7.2499999999999995E-2</v>
      </c>
    </row>
    <row r="42" spans="1:30" x14ac:dyDescent="0.2">
      <c r="AB42" s="400" t="s">
        <v>22</v>
      </c>
      <c r="AC42" s="402">
        <v>0.27</v>
      </c>
      <c r="AD42" s="402">
        <v>-9.2499999999999999E-2</v>
      </c>
    </row>
    <row r="43" spans="1:30" x14ac:dyDescent="0.2">
      <c r="AB43" s="400" t="s">
        <v>22</v>
      </c>
      <c r="AC43" s="402"/>
      <c r="AD43" s="402"/>
    </row>
    <row r="44" spans="1:30" x14ac:dyDescent="0.2">
      <c r="AB44" s="400" t="s">
        <v>23</v>
      </c>
      <c r="AC44" s="402">
        <v>0</v>
      </c>
      <c r="AD44" s="402">
        <v>0</v>
      </c>
    </row>
    <row r="45" spans="1:30" x14ac:dyDescent="0.2">
      <c r="AB45" s="400" t="s">
        <v>23</v>
      </c>
      <c r="AC45" s="402">
        <v>0.17499999999999999</v>
      </c>
      <c r="AD45" s="402">
        <v>-4.7500000000000001E-2</v>
      </c>
    </row>
    <row r="46" spans="1:30" x14ac:dyDescent="0.2">
      <c r="AB46" s="400" t="s">
        <v>23</v>
      </c>
      <c r="AC46" s="402">
        <v>0.19</v>
      </c>
      <c r="AD46" s="402">
        <v>-5.4899999999999997E-2</v>
      </c>
    </row>
    <row r="47" spans="1:30" x14ac:dyDescent="0.2">
      <c r="AB47" s="400" t="s">
        <v>23</v>
      </c>
      <c r="AC47" s="402">
        <v>0.22</v>
      </c>
      <c r="AD47" s="402">
        <v>-7.2499999999999995E-2</v>
      </c>
    </row>
    <row r="48" spans="1:30" x14ac:dyDescent="0.2">
      <c r="AB48" s="400" t="s">
        <v>23</v>
      </c>
      <c r="AC48" s="402">
        <v>0.27</v>
      </c>
      <c r="AD48" s="402">
        <v>-9.2499999999999999E-2</v>
      </c>
    </row>
    <row r="49" spans="28:30" x14ac:dyDescent="0.2">
      <c r="AB49" s="400" t="s">
        <v>23</v>
      </c>
      <c r="AC49" s="402"/>
      <c r="AD49" s="402"/>
    </row>
    <row r="50" spans="28:30" x14ac:dyDescent="0.2">
      <c r="AB50" s="421" t="s">
        <v>35</v>
      </c>
      <c r="AC50" s="422">
        <v>0</v>
      </c>
      <c r="AD50" s="422">
        <v>0</v>
      </c>
    </row>
    <row r="51" spans="28:30" x14ac:dyDescent="0.2">
      <c r="AB51" s="421" t="s">
        <v>35</v>
      </c>
      <c r="AC51" s="422"/>
      <c r="AD51" s="422"/>
    </row>
    <row r="52" spans="28:30" x14ac:dyDescent="0.2">
      <c r="AB52" s="421" t="s">
        <v>35</v>
      </c>
      <c r="AC52" s="422"/>
      <c r="AD52" s="422"/>
    </row>
    <row r="53" spans="28:30" x14ac:dyDescent="0.2">
      <c r="AB53" s="421" t="s">
        <v>35</v>
      </c>
      <c r="AC53" s="422"/>
      <c r="AD53" s="422"/>
    </row>
    <row r="54" spans="28:30" x14ac:dyDescent="0.2">
      <c r="AB54" s="421" t="s">
        <v>35</v>
      </c>
      <c r="AC54" s="422"/>
      <c r="AD54" s="422"/>
    </row>
    <row r="55" spans="28:30" x14ac:dyDescent="0.2">
      <c r="AB55" s="421" t="s">
        <v>35</v>
      </c>
      <c r="AC55" s="422"/>
      <c r="AD55" s="422"/>
    </row>
  </sheetData>
  <sheetProtection autoFilter="0"/>
  <protectedRanges>
    <protectedRange sqref="R5 AM2 U12 U3 U21" name="Диапазон1_1"/>
  </protectedRanges>
  <autoFilter ref="A1:AU35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DC323C"/>
    <outlinePr summaryBelow="0"/>
  </sheetPr>
  <dimension ref="A1:BC285"/>
  <sheetViews>
    <sheetView zoomScale="70" zoomScaleNormal="70" workbookViewId="0">
      <selection activeCell="AG49" sqref="AG4:AG49"/>
    </sheetView>
  </sheetViews>
  <sheetFormatPr defaultRowHeight="15" outlineLevelRow="1" x14ac:dyDescent="0.25"/>
  <cols>
    <col min="1" max="1" width="3.28515625" customWidth="1"/>
    <col min="2" max="2" width="42.5703125" customWidth="1"/>
    <col min="3" max="3" width="6.85546875" style="256" customWidth="1"/>
    <col min="4" max="4" width="13.7109375" customWidth="1"/>
    <col min="5" max="54" width="7.7109375" customWidth="1"/>
  </cols>
  <sheetData>
    <row r="1" spans="1:54" s="70" customFormat="1" ht="15.75" x14ac:dyDescent="0.25">
      <c r="A1" s="108"/>
      <c r="B1" s="109"/>
      <c r="C1" s="254"/>
      <c r="D1" s="109"/>
      <c r="E1" s="134" t="s">
        <v>122</v>
      </c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434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</row>
    <row r="2" spans="1:54" s="272" customFormat="1" ht="18" customHeight="1" x14ac:dyDescent="0.25">
      <c r="A2" s="270"/>
      <c r="B2" s="325" t="s">
        <v>6</v>
      </c>
      <c r="C2" s="274" t="str">
        <f>CONCATENATE(B2,D2)</f>
        <v>Новостройка с господдержкой 2020полный срок</v>
      </c>
      <c r="D2" s="260" t="s">
        <v>4</v>
      </c>
      <c r="E2" s="267">
        <v>0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71"/>
      <c r="AI2" s="271"/>
      <c r="AJ2" s="271"/>
      <c r="AK2" s="271"/>
      <c r="AL2" s="271"/>
      <c r="AM2" s="267"/>
      <c r="AN2" s="267"/>
      <c r="AO2" s="267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</row>
    <row r="3" spans="1:54" s="272" customFormat="1" ht="18" customHeight="1" x14ac:dyDescent="0.25">
      <c r="A3" s="270"/>
      <c r="B3" s="325" t="s">
        <v>62</v>
      </c>
      <c r="C3" s="274" t="str">
        <f>CONCATENATE(B3,D3)</f>
        <v>Семейная ипотека ДФОполный срок</v>
      </c>
      <c r="D3" s="260" t="s">
        <v>4</v>
      </c>
      <c r="E3" s="268">
        <v>0</v>
      </c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</row>
    <row r="4" spans="1:54" ht="18" customHeight="1" x14ac:dyDescent="0.25">
      <c r="A4" s="269" t="s">
        <v>5</v>
      </c>
      <c r="B4" s="326" t="s">
        <v>5</v>
      </c>
      <c r="C4" s="126" t="s">
        <v>196</v>
      </c>
      <c r="D4" s="46" t="s">
        <v>4</v>
      </c>
      <c r="E4" s="267">
        <v>0</v>
      </c>
      <c r="F4" s="385">
        <v>0.1</v>
      </c>
      <c r="G4" s="385">
        <v>0.4</v>
      </c>
      <c r="H4" s="385">
        <v>0.6</v>
      </c>
      <c r="I4" s="385">
        <v>0.85</v>
      </c>
      <c r="J4" s="385">
        <v>1.1000000000000001</v>
      </c>
      <c r="K4" s="385">
        <v>1.35</v>
      </c>
      <c r="L4" s="385">
        <v>1.6</v>
      </c>
      <c r="M4" s="385">
        <v>1.9</v>
      </c>
      <c r="N4" s="385">
        <v>2.1</v>
      </c>
      <c r="O4" s="385">
        <v>2.35</v>
      </c>
      <c r="P4" s="385">
        <v>2.6</v>
      </c>
      <c r="Q4" s="385">
        <v>2.85</v>
      </c>
      <c r="R4" s="385">
        <v>3.15</v>
      </c>
      <c r="S4" s="385">
        <v>3.4</v>
      </c>
      <c r="T4" s="385">
        <v>3.65</v>
      </c>
      <c r="U4" s="385">
        <v>3.9</v>
      </c>
      <c r="V4" s="385">
        <v>4.1500000000000004</v>
      </c>
      <c r="W4" s="385">
        <v>4.4000000000000004</v>
      </c>
      <c r="X4" s="385">
        <v>4.75</v>
      </c>
      <c r="Y4" s="385">
        <v>5</v>
      </c>
      <c r="Z4" s="385">
        <v>5.25</v>
      </c>
      <c r="AA4" s="385">
        <v>5.49</v>
      </c>
      <c r="AB4" s="385">
        <v>5.75</v>
      </c>
      <c r="AC4" s="385">
        <v>5.9</v>
      </c>
      <c r="AD4" s="385">
        <v>6.15</v>
      </c>
      <c r="AE4" s="385">
        <v>6.4</v>
      </c>
      <c r="AF4" s="385">
        <v>6.65</v>
      </c>
      <c r="AG4" s="385">
        <v>7.25</v>
      </c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</row>
    <row r="5" spans="1:54" ht="18" customHeight="1" x14ac:dyDescent="0.25">
      <c r="A5" s="269" t="s">
        <v>10</v>
      </c>
      <c r="B5" s="338" t="s">
        <v>10</v>
      </c>
      <c r="C5" s="339" t="s">
        <v>198</v>
      </c>
      <c r="D5" s="340" t="s">
        <v>4</v>
      </c>
      <c r="E5" s="267">
        <v>0</v>
      </c>
      <c r="F5" s="341">
        <v>0.89</v>
      </c>
      <c r="G5" s="341">
        <v>0.9900000000000001</v>
      </c>
      <c r="H5" s="341">
        <v>1.0900000000000001</v>
      </c>
      <c r="I5" s="341">
        <v>1.1900000000000002</v>
      </c>
      <c r="J5" s="341">
        <v>1.29</v>
      </c>
      <c r="K5" s="341">
        <v>1.34</v>
      </c>
      <c r="L5" s="341">
        <v>1.49</v>
      </c>
      <c r="M5" s="341">
        <v>1.59</v>
      </c>
      <c r="N5" s="341">
        <v>1.79</v>
      </c>
      <c r="O5" s="341">
        <v>1.8900000000000001</v>
      </c>
      <c r="P5" s="341">
        <v>1.9900000000000002</v>
      </c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ht="18" customHeight="1" x14ac:dyDescent="0.25">
      <c r="A6" s="269" t="s">
        <v>61</v>
      </c>
      <c r="B6" s="326" t="s">
        <v>61</v>
      </c>
      <c r="C6" s="126" t="str">
        <f t="shared" ref="C6:C7" si="0">CONCATENATE(B6,D6)</f>
        <v>Дальневосточная ипотекаполный срок</v>
      </c>
      <c r="D6" s="46" t="s">
        <v>4</v>
      </c>
      <c r="E6" s="267">
        <v>0</v>
      </c>
      <c r="F6" s="341">
        <v>0.09</v>
      </c>
      <c r="G6" s="341">
        <v>0.28999999999999998</v>
      </c>
      <c r="H6" s="341">
        <v>0.39</v>
      </c>
      <c r="I6" s="341">
        <v>0.59</v>
      </c>
      <c r="J6" s="341">
        <v>0.79</v>
      </c>
      <c r="K6" s="341">
        <v>0.89</v>
      </c>
      <c r="L6" s="341">
        <v>1.0900000000000001</v>
      </c>
      <c r="M6" s="341">
        <v>1.19</v>
      </c>
      <c r="N6" s="341">
        <v>1.29</v>
      </c>
      <c r="O6" s="341">
        <v>1.49</v>
      </c>
      <c r="P6" s="341">
        <v>1.64</v>
      </c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</row>
    <row r="7" spans="1:54" ht="18" customHeight="1" x14ac:dyDescent="0.25">
      <c r="A7" s="269" t="s">
        <v>67</v>
      </c>
      <c r="B7" s="338" t="s">
        <v>38</v>
      </c>
      <c r="C7" s="339" t="str">
        <f t="shared" si="0"/>
        <v>Ипотека для IT-специалистовполный срок</v>
      </c>
      <c r="D7" s="340" t="s">
        <v>4</v>
      </c>
      <c r="E7" s="267">
        <v>0</v>
      </c>
      <c r="F7" s="341">
        <v>0.9</v>
      </c>
      <c r="G7" s="341">
        <v>1</v>
      </c>
      <c r="H7" s="341">
        <v>1.2</v>
      </c>
      <c r="I7" s="341">
        <v>1.3</v>
      </c>
      <c r="J7" s="341">
        <v>1.4</v>
      </c>
      <c r="K7" s="341">
        <v>1.5</v>
      </c>
      <c r="L7" s="341">
        <v>1.7</v>
      </c>
      <c r="M7" s="341">
        <v>2</v>
      </c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</row>
    <row r="8" spans="1:54" s="70" customFormat="1" x14ac:dyDescent="0.25">
      <c r="C8" s="257"/>
    </row>
    <row r="9" spans="1:54" s="41" customFormat="1" ht="15.75" x14ac:dyDescent="0.25">
      <c r="A9" s="436" t="str">
        <f>B5</f>
        <v>Семейная ипотека</v>
      </c>
      <c r="C9" s="255"/>
      <c r="D9" s="42"/>
      <c r="E9" s="134" t="s">
        <v>124</v>
      </c>
      <c r="F9" s="43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</row>
    <row r="10" spans="1:54" x14ac:dyDescent="0.25">
      <c r="A10" s="252" t="str">
        <f>CONCATENATE($A$9,"_",D10,"_",$C$12)</f>
        <v>Семейная ипотека_без отсрочки_ПВ20</v>
      </c>
      <c r="B10" s="40"/>
      <c r="C10" s="366"/>
      <c r="D10" s="11" t="s">
        <v>3</v>
      </c>
      <c r="E10" s="262">
        <v>0</v>
      </c>
      <c r="F10" s="386">
        <v>0.16949999999999998</v>
      </c>
      <c r="G10" s="386">
        <v>0.17199999999999999</v>
      </c>
      <c r="H10" s="386">
        <v>0.17449999999999999</v>
      </c>
      <c r="I10" s="386">
        <v>0.17699999999999999</v>
      </c>
      <c r="J10" s="386">
        <v>0.17949999999999999</v>
      </c>
      <c r="K10" s="386">
        <v>0.20399999999999999</v>
      </c>
      <c r="L10" s="386">
        <v>0.20850000000000002</v>
      </c>
      <c r="M10" s="386">
        <v>0.21149999999999999</v>
      </c>
      <c r="N10" s="386">
        <v>0.217</v>
      </c>
      <c r="O10" s="386">
        <v>0.218</v>
      </c>
      <c r="P10" s="386">
        <v>0.22149999999999997</v>
      </c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</row>
    <row r="11" spans="1:54" x14ac:dyDescent="0.25">
      <c r="A11" s="252" t="str">
        <f t="shared" ref="A11:A14" si="1">CONCATENATE($A$9,"_",D11,"_",$C$12)</f>
        <v>Семейная ипотека_6_ПВ20</v>
      </c>
      <c r="B11" s="251"/>
      <c r="C11" s="136"/>
      <c r="D11" s="11">
        <v>6</v>
      </c>
      <c r="E11" s="262">
        <v>0</v>
      </c>
      <c r="F11" s="392">
        <v>0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v>0</v>
      </c>
      <c r="M11" s="392">
        <v>0</v>
      </c>
      <c r="N11" s="392">
        <v>0</v>
      </c>
      <c r="O11" s="392">
        <v>0</v>
      </c>
      <c r="P11" s="392">
        <v>0</v>
      </c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</row>
    <row r="12" spans="1:54" x14ac:dyDescent="0.25">
      <c r="A12" s="252" t="str">
        <f t="shared" si="1"/>
        <v>Семейная ипотека_12_ПВ20</v>
      </c>
      <c r="B12" s="40"/>
      <c r="C12" s="135" t="s">
        <v>124</v>
      </c>
      <c r="D12" s="11">
        <v>12</v>
      </c>
      <c r="E12" s="262">
        <v>0</v>
      </c>
      <c r="F12" s="392">
        <v>0</v>
      </c>
      <c r="G12" s="392">
        <v>0</v>
      </c>
      <c r="H12" s="392">
        <v>0</v>
      </c>
      <c r="I12" s="392">
        <v>0</v>
      </c>
      <c r="J12" s="392">
        <v>0</v>
      </c>
      <c r="K12" s="392">
        <v>0</v>
      </c>
      <c r="L12" s="392">
        <v>0</v>
      </c>
      <c r="M12" s="392">
        <v>0</v>
      </c>
      <c r="N12" s="392">
        <v>0</v>
      </c>
      <c r="O12" s="392">
        <v>0</v>
      </c>
      <c r="P12" s="392">
        <v>0</v>
      </c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</row>
    <row r="13" spans="1:54" x14ac:dyDescent="0.25">
      <c r="A13" s="252" t="str">
        <f t="shared" si="1"/>
        <v>Семейная ипотека_18_ПВ20</v>
      </c>
      <c r="B13" s="40"/>
      <c r="C13" s="136"/>
      <c r="D13" s="11">
        <v>18</v>
      </c>
      <c r="E13" s="262">
        <v>0</v>
      </c>
      <c r="F13" s="392">
        <v>0</v>
      </c>
      <c r="G13" s="392">
        <v>0</v>
      </c>
      <c r="H13" s="392">
        <v>0</v>
      </c>
      <c r="I13" s="392">
        <v>0</v>
      </c>
      <c r="J13" s="392">
        <v>0</v>
      </c>
      <c r="K13" s="392">
        <v>0</v>
      </c>
      <c r="L13" s="392">
        <v>0</v>
      </c>
      <c r="M13" s="392">
        <v>0</v>
      </c>
      <c r="N13" s="392">
        <v>0</v>
      </c>
      <c r="O13" s="392">
        <v>0</v>
      </c>
      <c r="P13" s="392">
        <v>0</v>
      </c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</row>
    <row r="14" spans="1:54" x14ac:dyDescent="0.25">
      <c r="A14" s="252" t="str">
        <f t="shared" si="1"/>
        <v>Семейная ипотека_24_ПВ20</v>
      </c>
      <c r="B14" s="112"/>
      <c r="C14" s="137"/>
      <c r="D14" s="11">
        <v>24</v>
      </c>
      <c r="E14" s="262">
        <v>0</v>
      </c>
      <c r="F14" s="392">
        <v>0</v>
      </c>
      <c r="G14" s="392">
        <v>0</v>
      </c>
      <c r="H14" s="392">
        <v>0</v>
      </c>
      <c r="I14" s="392">
        <v>0</v>
      </c>
      <c r="J14" s="392">
        <v>0</v>
      </c>
      <c r="K14" s="392">
        <v>0</v>
      </c>
      <c r="L14" s="392">
        <v>0</v>
      </c>
      <c r="M14" s="392">
        <v>0</v>
      </c>
      <c r="N14" s="392">
        <v>0</v>
      </c>
      <c r="O14" s="392">
        <v>0</v>
      </c>
      <c r="P14" s="392">
        <v>0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</row>
    <row r="15" spans="1:54" ht="15.75" x14ac:dyDescent="0.25">
      <c r="A15" s="253"/>
      <c r="E15" s="134" t="s">
        <v>125</v>
      </c>
    </row>
    <row r="16" spans="1:54" x14ac:dyDescent="0.25">
      <c r="A16" s="258" t="str">
        <f>CONCATENATE($A$9,"_",D16,"_",$C$18)</f>
        <v>Семейная ипотека_без отсрочки_ПВ15</v>
      </c>
      <c r="B16" s="259"/>
      <c r="C16" s="367"/>
      <c r="D16" s="261" t="s">
        <v>3</v>
      </c>
      <c r="E16" s="262">
        <f>E10</f>
        <v>0</v>
      </c>
      <c r="F16" s="262">
        <f t="shared" ref="F16:AE16" si="2">F10</f>
        <v>0.16949999999999998</v>
      </c>
      <c r="G16" s="262">
        <f t="shared" si="2"/>
        <v>0.17199999999999999</v>
      </c>
      <c r="H16" s="262">
        <f t="shared" si="2"/>
        <v>0.17449999999999999</v>
      </c>
      <c r="I16" s="262">
        <f t="shared" si="2"/>
        <v>0.17699999999999999</v>
      </c>
      <c r="J16" s="262">
        <f t="shared" si="2"/>
        <v>0.17949999999999999</v>
      </c>
      <c r="K16" s="262">
        <f t="shared" si="2"/>
        <v>0.20399999999999999</v>
      </c>
      <c r="L16" s="262">
        <f t="shared" si="2"/>
        <v>0.20850000000000002</v>
      </c>
      <c r="M16" s="262">
        <f t="shared" si="2"/>
        <v>0.21149999999999999</v>
      </c>
      <c r="N16" s="262">
        <f t="shared" si="2"/>
        <v>0.217</v>
      </c>
      <c r="O16" s="262">
        <f t="shared" si="2"/>
        <v>0.218</v>
      </c>
      <c r="P16" s="262">
        <f t="shared" si="2"/>
        <v>0.22149999999999997</v>
      </c>
      <c r="Q16" s="262">
        <f t="shared" si="2"/>
        <v>0</v>
      </c>
      <c r="R16" s="262">
        <f t="shared" si="2"/>
        <v>0</v>
      </c>
      <c r="S16" s="262">
        <f t="shared" si="2"/>
        <v>0</v>
      </c>
      <c r="T16" s="262">
        <f t="shared" si="2"/>
        <v>0</v>
      </c>
      <c r="U16" s="262">
        <f t="shared" si="2"/>
        <v>0</v>
      </c>
      <c r="V16" s="262">
        <f t="shared" si="2"/>
        <v>0</v>
      </c>
      <c r="W16" s="262">
        <f t="shared" si="2"/>
        <v>0</v>
      </c>
      <c r="X16" s="262">
        <f t="shared" si="2"/>
        <v>0</v>
      </c>
      <c r="Y16" s="262">
        <f t="shared" si="2"/>
        <v>0</v>
      </c>
      <c r="Z16" s="262">
        <f t="shared" si="2"/>
        <v>0</v>
      </c>
      <c r="AA16" s="262">
        <f t="shared" si="2"/>
        <v>0</v>
      </c>
      <c r="AB16" s="262">
        <f t="shared" si="2"/>
        <v>0</v>
      </c>
      <c r="AC16" s="262">
        <f t="shared" si="2"/>
        <v>0</v>
      </c>
      <c r="AD16" s="262">
        <f t="shared" si="2"/>
        <v>0</v>
      </c>
      <c r="AE16" s="262">
        <f t="shared" si="2"/>
        <v>0</v>
      </c>
      <c r="AF16" s="262">
        <f t="shared" ref="AF16:AH16" si="3">AF10</f>
        <v>0</v>
      </c>
      <c r="AG16" s="262">
        <f t="shared" si="3"/>
        <v>0</v>
      </c>
      <c r="AH16" s="262">
        <f t="shared" si="3"/>
        <v>0</v>
      </c>
      <c r="AI16" s="262">
        <f t="shared" ref="AI16:AL16" si="4">AI10</f>
        <v>0</v>
      </c>
      <c r="AJ16" s="262">
        <f t="shared" si="4"/>
        <v>0</v>
      </c>
      <c r="AK16" s="262">
        <f t="shared" si="4"/>
        <v>0</v>
      </c>
      <c r="AL16" s="262">
        <f t="shared" si="4"/>
        <v>0</v>
      </c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</row>
    <row r="17" spans="1:54" x14ac:dyDescent="0.25">
      <c r="A17" s="258" t="str">
        <f t="shared" ref="A17:A20" si="5">CONCATENATE($A$9,"_",D17,"_",$C$18)</f>
        <v>Семейная ипотека_6_ПВ15</v>
      </c>
      <c r="B17" s="259"/>
      <c r="C17" s="265"/>
      <c r="D17" s="261">
        <v>6</v>
      </c>
      <c r="E17" s="262">
        <f t="shared" ref="E17:AE17" si="6">E11</f>
        <v>0</v>
      </c>
      <c r="F17" s="262">
        <f t="shared" si="6"/>
        <v>0</v>
      </c>
      <c r="G17" s="262">
        <f t="shared" si="6"/>
        <v>0</v>
      </c>
      <c r="H17" s="262">
        <f t="shared" si="6"/>
        <v>0</v>
      </c>
      <c r="I17" s="262">
        <f t="shared" si="6"/>
        <v>0</v>
      </c>
      <c r="J17" s="262">
        <f t="shared" si="6"/>
        <v>0</v>
      </c>
      <c r="K17" s="262">
        <f t="shared" si="6"/>
        <v>0</v>
      </c>
      <c r="L17" s="262">
        <f t="shared" si="6"/>
        <v>0</v>
      </c>
      <c r="M17" s="262">
        <f t="shared" si="6"/>
        <v>0</v>
      </c>
      <c r="N17" s="262">
        <f t="shared" si="6"/>
        <v>0</v>
      </c>
      <c r="O17" s="262">
        <f t="shared" si="6"/>
        <v>0</v>
      </c>
      <c r="P17" s="262">
        <f t="shared" si="6"/>
        <v>0</v>
      </c>
      <c r="Q17" s="262">
        <f t="shared" si="6"/>
        <v>0</v>
      </c>
      <c r="R17" s="262">
        <f t="shared" si="6"/>
        <v>0</v>
      </c>
      <c r="S17" s="262">
        <f t="shared" si="6"/>
        <v>0</v>
      </c>
      <c r="T17" s="262">
        <f t="shared" si="6"/>
        <v>0</v>
      </c>
      <c r="U17" s="262">
        <f t="shared" si="6"/>
        <v>0</v>
      </c>
      <c r="V17" s="262">
        <f t="shared" si="6"/>
        <v>0</v>
      </c>
      <c r="W17" s="262">
        <f t="shared" si="6"/>
        <v>0</v>
      </c>
      <c r="X17" s="262">
        <f t="shared" si="6"/>
        <v>0</v>
      </c>
      <c r="Y17" s="262">
        <f t="shared" si="6"/>
        <v>0</v>
      </c>
      <c r="Z17" s="262">
        <f t="shared" si="6"/>
        <v>0</v>
      </c>
      <c r="AA17" s="262">
        <f t="shared" si="6"/>
        <v>0</v>
      </c>
      <c r="AB17" s="262">
        <f t="shared" si="6"/>
        <v>0</v>
      </c>
      <c r="AC17" s="262">
        <f t="shared" si="6"/>
        <v>0</v>
      </c>
      <c r="AD17" s="262">
        <f t="shared" si="6"/>
        <v>0</v>
      </c>
      <c r="AE17" s="262">
        <f t="shared" si="6"/>
        <v>0</v>
      </c>
      <c r="AF17" s="262">
        <f t="shared" ref="AF17:AH17" si="7">AF11</f>
        <v>0</v>
      </c>
      <c r="AG17" s="262">
        <f t="shared" si="7"/>
        <v>0</v>
      </c>
      <c r="AH17" s="262">
        <f t="shared" si="7"/>
        <v>0</v>
      </c>
      <c r="AI17" s="262">
        <f t="shared" ref="AI17:AL17" si="8">AI11</f>
        <v>0</v>
      </c>
      <c r="AJ17" s="262">
        <f t="shared" si="8"/>
        <v>0</v>
      </c>
      <c r="AK17" s="262">
        <f t="shared" si="8"/>
        <v>0</v>
      </c>
      <c r="AL17" s="262">
        <f t="shared" si="8"/>
        <v>0</v>
      </c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</row>
    <row r="18" spans="1:54" x14ac:dyDescent="0.25">
      <c r="A18" s="258" t="str">
        <f t="shared" si="5"/>
        <v>Семейная ипотека_12_ПВ15</v>
      </c>
      <c r="B18" s="259"/>
      <c r="C18" s="264" t="s">
        <v>125</v>
      </c>
      <c r="D18" s="261">
        <v>12</v>
      </c>
      <c r="E18" s="262">
        <f t="shared" ref="E18:AE18" si="9">E12</f>
        <v>0</v>
      </c>
      <c r="F18" s="262">
        <f t="shared" si="9"/>
        <v>0</v>
      </c>
      <c r="G18" s="262">
        <f t="shared" si="9"/>
        <v>0</v>
      </c>
      <c r="H18" s="262">
        <f t="shared" si="9"/>
        <v>0</v>
      </c>
      <c r="I18" s="262">
        <f t="shared" si="9"/>
        <v>0</v>
      </c>
      <c r="J18" s="262">
        <f t="shared" si="9"/>
        <v>0</v>
      </c>
      <c r="K18" s="262">
        <f t="shared" si="9"/>
        <v>0</v>
      </c>
      <c r="L18" s="262">
        <f t="shared" si="9"/>
        <v>0</v>
      </c>
      <c r="M18" s="262">
        <f t="shared" si="9"/>
        <v>0</v>
      </c>
      <c r="N18" s="262">
        <f t="shared" si="9"/>
        <v>0</v>
      </c>
      <c r="O18" s="262">
        <f t="shared" si="9"/>
        <v>0</v>
      </c>
      <c r="P18" s="262">
        <f t="shared" si="9"/>
        <v>0</v>
      </c>
      <c r="Q18" s="262">
        <f t="shared" si="9"/>
        <v>0</v>
      </c>
      <c r="R18" s="262">
        <f t="shared" si="9"/>
        <v>0</v>
      </c>
      <c r="S18" s="262">
        <f t="shared" si="9"/>
        <v>0</v>
      </c>
      <c r="T18" s="262">
        <f t="shared" si="9"/>
        <v>0</v>
      </c>
      <c r="U18" s="262">
        <f t="shared" si="9"/>
        <v>0</v>
      </c>
      <c r="V18" s="262">
        <f t="shared" si="9"/>
        <v>0</v>
      </c>
      <c r="W18" s="262">
        <f t="shared" si="9"/>
        <v>0</v>
      </c>
      <c r="X18" s="262">
        <f t="shared" si="9"/>
        <v>0</v>
      </c>
      <c r="Y18" s="262">
        <f t="shared" si="9"/>
        <v>0</v>
      </c>
      <c r="Z18" s="262">
        <f t="shared" si="9"/>
        <v>0</v>
      </c>
      <c r="AA18" s="262">
        <f t="shared" si="9"/>
        <v>0</v>
      </c>
      <c r="AB18" s="262">
        <f t="shared" si="9"/>
        <v>0</v>
      </c>
      <c r="AC18" s="262">
        <f t="shared" si="9"/>
        <v>0</v>
      </c>
      <c r="AD18" s="262">
        <f t="shared" si="9"/>
        <v>0</v>
      </c>
      <c r="AE18" s="262">
        <f t="shared" si="9"/>
        <v>0</v>
      </c>
      <c r="AF18" s="262">
        <f t="shared" ref="AF18:AH18" si="10">AF12</f>
        <v>0</v>
      </c>
      <c r="AG18" s="262">
        <f t="shared" si="10"/>
        <v>0</v>
      </c>
      <c r="AH18" s="262">
        <f t="shared" si="10"/>
        <v>0</v>
      </c>
      <c r="AI18" s="262">
        <f t="shared" ref="AI18:AL18" si="11">AI12</f>
        <v>0</v>
      </c>
      <c r="AJ18" s="262">
        <f t="shared" si="11"/>
        <v>0</v>
      </c>
      <c r="AK18" s="262">
        <f t="shared" si="11"/>
        <v>0</v>
      </c>
      <c r="AL18" s="262">
        <f t="shared" si="11"/>
        <v>0</v>
      </c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</row>
    <row r="19" spans="1:54" s="70" customFormat="1" x14ac:dyDescent="0.25">
      <c r="A19" s="258" t="str">
        <f t="shared" si="5"/>
        <v>Семейная ипотека_18_ПВ15</v>
      </c>
      <c r="B19" s="259"/>
      <c r="C19" s="265"/>
      <c r="D19" s="261">
        <v>18</v>
      </c>
      <c r="E19" s="262">
        <f t="shared" ref="E19:AE19" si="12">E13</f>
        <v>0</v>
      </c>
      <c r="F19" s="262">
        <f t="shared" si="12"/>
        <v>0</v>
      </c>
      <c r="G19" s="262">
        <f t="shared" si="12"/>
        <v>0</v>
      </c>
      <c r="H19" s="262">
        <f t="shared" si="12"/>
        <v>0</v>
      </c>
      <c r="I19" s="262">
        <f t="shared" si="12"/>
        <v>0</v>
      </c>
      <c r="J19" s="262">
        <f t="shared" si="12"/>
        <v>0</v>
      </c>
      <c r="K19" s="262">
        <f t="shared" si="12"/>
        <v>0</v>
      </c>
      <c r="L19" s="262">
        <f t="shared" si="12"/>
        <v>0</v>
      </c>
      <c r="M19" s="262">
        <f t="shared" si="12"/>
        <v>0</v>
      </c>
      <c r="N19" s="262">
        <f t="shared" si="12"/>
        <v>0</v>
      </c>
      <c r="O19" s="262">
        <f t="shared" si="12"/>
        <v>0</v>
      </c>
      <c r="P19" s="262">
        <f t="shared" si="12"/>
        <v>0</v>
      </c>
      <c r="Q19" s="262">
        <f t="shared" si="12"/>
        <v>0</v>
      </c>
      <c r="R19" s="262">
        <f t="shared" si="12"/>
        <v>0</v>
      </c>
      <c r="S19" s="262">
        <f t="shared" si="12"/>
        <v>0</v>
      </c>
      <c r="T19" s="262">
        <f t="shared" si="12"/>
        <v>0</v>
      </c>
      <c r="U19" s="262">
        <f t="shared" si="12"/>
        <v>0</v>
      </c>
      <c r="V19" s="262">
        <f t="shared" si="12"/>
        <v>0</v>
      </c>
      <c r="W19" s="262">
        <f t="shared" si="12"/>
        <v>0</v>
      </c>
      <c r="X19" s="262">
        <f t="shared" si="12"/>
        <v>0</v>
      </c>
      <c r="Y19" s="262">
        <f t="shared" si="12"/>
        <v>0</v>
      </c>
      <c r="Z19" s="262">
        <f t="shared" si="12"/>
        <v>0</v>
      </c>
      <c r="AA19" s="262">
        <f t="shared" si="12"/>
        <v>0</v>
      </c>
      <c r="AB19" s="262">
        <f t="shared" si="12"/>
        <v>0</v>
      </c>
      <c r="AC19" s="262">
        <f t="shared" si="12"/>
        <v>0</v>
      </c>
      <c r="AD19" s="262">
        <f t="shared" si="12"/>
        <v>0</v>
      </c>
      <c r="AE19" s="262">
        <f t="shared" si="12"/>
        <v>0</v>
      </c>
      <c r="AF19" s="262">
        <f t="shared" ref="AF19:AH19" si="13">AF13</f>
        <v>0</v>
      </c>
      <c r="AG19" s="262">
        <f t="shared" si="13"/>
        <v>0</v>
      </c>
      <c r="AH19" s="262">
        <f t="shared" si="13"/>
        <v>0</v>
      </c>
      <c r="AI19" s="262">
        <f t="shared" ref="AI19:AL19" si="14">AI13</f>
        <v>0</v>
      </c>
      <c r="AJ19" s="262">
        <f t="shared" si="14"/>
        <v>0</v>
      </c>
      <c r="AK19" s="262">
        <f t="shared" si="14"/>
        <v>0</v>
      </c>
      <c r="AL19" s="262">
        <f t="shared" si="14"/>
        <v>0</v>
      </c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</row>
    <row r="20" spans="1:54" s="70" customFormat="1" x14ac:dyDescent="0.25">
      <c r="A20" s="258" t="str">
        <f t="shared" si="5"/>
        <v>Семейная ипотека_24_ПВ15</v>
      </c>
      <c r="B20" s="259"/>
      <c r="C20" s="266"/>
      <c r="D20" s="261">
        <v>24</v>
      </c>
      <c r="E20" s="262">
        <f t="shared" ref="E20:AE20" si="15">E14</f>
        <v>0</v>
      </c>
      <c r="F20" s="262">
        <f t="shared" si="15"/>
        <v>0</v>
      </c>
      <c r="G20" s="262">
        <f t="shared" si="15"/>
        <v>0</v>
      </c>
      <c r="H20" s="262">
        <f t="shared" si="15"/>
        <v>0</v>
      </c>
      <c r="I20" s="262">
        <f t="shared" si="15"/>
        <v>0</v>
      </c>
      <c r="J20" s="262">
        <f t="shared" si="15"/>
        <v>0</v>
      </c>
      <c r="K20" s="262">
        <f t="shared" si="15"/>
        <v>0</v>
      </c>
      <c r="L20" s="262">
        <f t="shared" si="15"/>
        <v>0</v>
      </c>
      <c r="M20" s="262">
        <f t="shared" si="15"/>
        <v>0</v>
      </c>
      <c r="N20" s="262">
        <f t="shared" si="15"/>
        <v>0</v>
      </c>
      <c r="O20" s="262">
        <f t="shared" si="15"/>
        <v>0</v>
      </c>
      <c r="P20" s="262">
        <f t="shared" si="15"/>
        <v>0</v>
      </c>
      <c r="Q20" s="262">
        <f t="shared" si="15"/>
        <v>0</v>
      </c>
      <c r="R20" s="262">
        <f t="shared" si="15"/>
        <v>0</v>
      </c>
      <c r="S20" s="262">
        <f t="shared" si="15"/>
        <v>0</v>
      </c>
      <c r="T20" s="262">
        <f t="shared" si="15"/>
        <v>0</v>
      </c>
      <c r="U20" s="262">
        <f t="shared" si="15"/>
        <v>0</v>
      </c>
      <c r="V20" s="262">
        <f t="shared" si="15"/>
        <v>0</v>
      </c>
      <c r="W20" s="262">
        <f t="shared" si="15"/>
        <v>0</v>
      </c>
      <c r="X20" s="262">
        <f t="shared" si="15"/>
        <v>0</v>
      </c>
      <c r="Y20" s="262">
        <f t="shared" si="15"/>
        <v>0</v>
      </c>
      <c r="Z20" s="262">
        <f t="shared" si="15"/>
        <v>0</v>
      </c>
      <c r="AA20" s="262">
        <f t="shared" si="15"/>
        <v>0</v>
      </c>
      <c r="AB20" s="262">
        <f t="shared" si="15"/>
        <v>0</v>
      </c>
      <c r="AC20" s="262">
        <f t="shared" si="15"/>
        <v>0</v>
      </c>
      <c r="AD20" s="262">
        <f t="shared" si="15"/>
        <v>0</v>
      </c>
      <c r="AE20" s="262">
        <f t="shared" si="15"/>
        <v>0</v>
      </c>
      <c r="AF20" s="262">
        <f t="shared" ref="AF20:AH20" si="16">AF14</f>
        <v>0</v>
      </c>
      <c r="AG20" s="262">
        <f t="shared" si="16"/>
        <v>0</v>
      </c>
      <c r="AH20" s="262">
        <f t="shared" si="16"/>
        <v>0</v>
      </c>
      <c r="AI20" s="262">
        <f t="shared" ref="AI20:AL20" si="17">AI14</f>
        <v>0</v>
      </c>
      <c r="AJ20" s="262">
        <f t="shared" si="17"/>
        <v>0</v>
      </c>
      <c r="AK20" s="262">
        <f t="shared" si="17"/>
        <v>0</v>
      </c>
      <c r="AL20" s="262">
        <f t="shared" si="17"/>
        <v>0</v>
      </c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</row>
    <row r="21" spans="1:54" s="70" customFormat="1" x14ac:dyDescent="0.25">
      <c r="C21" s="257"/>
      <c r="F21" s="71"/>
      <c r="G21" s="71"/>
      <c r="H21" s="71"/>
      <c r="I21" s="71"/>
      <c r="J21" s="71"/>
      <c r="K21" s="71"/>
      <c r="L21" s="71"/>
    </row>
    <row r="22" spans="1:54" s="41" customFormat="1" ht="15.75" x14ac:dyDescent="0.25">
      <c r="A22" s="436" t="str">
        <f>B6</f>
        <v>Дальневосточная ипотека</v>
      </c>
      <c r="C22" s="255"/>
      <c r="D22" s="42"/>
      <c r="E22" s="134" t="s">
        <v>124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</row>
    <row r="23" spans="1:54" x14ac:dyDescent="0.25">
      <c r="A23" s="252" t="str">
        <f>CONCATENATE($A$22,"_",D23,"_",$C$25)</f>
        <v>Дальневосточная ипотека_без отсрочки_ПВ20</v>
      </c>
      <c r="B23" s="40"/>
      <c r="C23" s="366"/>
      <c r="D23" s="11" t="s">
        <v>3</v>
      </c>
      <c r="E23" s="262">
        <v>0</v>
      </c>
      <c r="F23" s="386">
        <v>0.18149999999999999</v>
      </c>
      <c r="G23" s="386">
        <v>0.1865</v>
      </c>
      <c r="H23" s="386">
        <v>0.188</v>
      </c>
      <c r="I23" s="386">
        <v>0.19450000000000001</v>
      </c>
      <c r="J23" s="386">
        <v>0.20050000000000001</v>
      </c>
      <c r="K23" s="386">
        <v>0.20300000000000001</v>
      </c>
      <c r="L23" s="386">
        <v>0.20649999999999999</v>
      </c>
      <c r="M23" s="386">
        <v>0.20899999999999999</v>
      </c>
      <c r="N23" s="386">
        <v>0.21199999999999999</v>
      </c>
      <c r="O23" s="386">
        <v>0.21850000000000003</v>
      </c>
      <c r="P23" s="386">
        <v>0.223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</row>
    <row r="24" spans="1:54" x14ac:dyDescent="0.25">
      <c r="A24" s="252" t="str">
        <f t="shared" ref="A24:A27" si="18">CONCATENATE($A$22,"_",D24,"_",$C$25)</f>
        <v>Дальневосточная ипотека_6_ПВ20</v>
      </c>
      <c r="B24" s="251"/>
      <c r="C24" s="136"/>
      <c r="D24" s="11">
        <v>6</v>
      </c>
      <c r="E24" s="262">
        <v>0</v>
      </c>
      <c r="F24" s="392">
        <v>0</v>
      </c>
      <c r="G24" s="392">
        <v>0</v>
      </c>
      <c r="H24" s="392">
        <v>0</v>
      </c>
      <c r="I24" s="392">
        <v>0</v>
      </c>
      <c r="J24" s="392">
        <v>0</v>
      </c>
      <c r="K24" s="392">
        <v>0</v>
      </c>
      <c r="L24" s="392">
        <v>0</v>
      </c>
      <c r="M24" s="392">
        <v>0</v>
      </c>
      <c r="N24" s="392">
        <v>0</v>
      </c>
      <c r="O24" s="392">
        <v>0</v>
      </c>
      <c r="P24" s="392">
        <v>0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</row>
    <row r="25" spans="1:54" x14ac:dyDescent="0.25">
      <c r="A25" s="252" t="str">
        <f t="shared" si="18"/>
        <v>Дальневосточная ипотека_12_ПВ20</v>
      </c>
      <c r="B25" s="40"/>
      <c r="C25" s="135" t="s">
        <v>124</v>
      </c>
      <c r="D25" s="11">
        <v>12</v>
      </c>
      <c r="E25" s="262">
        <v>0</v>
      </c>
      <c r="F25" s="392">
        <v>0</v>
      </c>
      <c r="G25" s="392">
        <v>0</v>
      </c>
      <c r="H25" s="392">
        <v>0</v>
      </c>
      <c r="I25" s="392">
        <v>0</v>
      </c>
      <c r="J25" s="392">
        <v>0</v>
      </c>
      <c r="K25" s="392">
        <v>0</v>
      </c>
      <c r="L25" s="392">
        <v>0</v>
      </c>
      <c r="M25" s="392">
        <v>0</v>
      </c>
      <c r="N25" s="392">
        <v>0</v>
      </c>
      <c r="O25" s="392">
        <v>0</v>
      </c>
      <c r="P25" s="392">
        <v>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</row>
    <row r="26" spans="1:54" x14ac:dyDescent="0.25">
      <c r="A26" s="252" t="str">
        <f t="shared" si="18"/>
        <v>Дальневосточная ипотека_18_ПВ20</v>
      </c>
      <c r="B26" s="40"/>
      <c r="C26" s="136"/>
      <c r="D26" s="11">
        <v>18</v>
      </c>
      <c r="E26" s="262">
        <v>0</v>
      </c>
      <c r="F26" s="392">
        <v>0</v>
      </c>
      <c r="G26" s="392">
        <v>0</v>
      </c>
      <c r="H26" s="392">
        <v>0</v>
      </c>
      <c r="I26" s="392">
        <v>0</v>
      </c>
      <c r="J26" s="392">
        <v>0</v>
      </c>
      <c r="K26" s="392">
        <v>0</v>
      </c>
      <c r="L26" s="392">
        <v>0</v>
      </c>
      <c r="M26" s="392">
        <v>0</v>
      </c>
      <c r="N26" s="392">
        <v>0</v>
      </c>
      <c r="O26" s="392">
        <v>0</v>
      </c>
      <c r="P26" s="392"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</row>
    <row r="27" spans="1:54" x14ac:dyDescent="0.25">
      <c r="A27" s="252" t="str">
        <f t="shared" si="18"/>
        <v>Дальневосточная ипотека_24_ПВ20</v>
      </c>
      <c r="B27" s="112"/>
      <c r="C27" s="137"/>
      <c r="D27" s="11">
        <v>24</v>
      </c>
      <c r="E27" s="262">
        <v>0</v>
      </c>
      <c r="F27" s="392">
        <v>0</v>
      </c>
      <c r="G27" s="392">
        <v>0</v>
      </c>
      <c r="H27" s="392">
        <v>0</v>
      </c>
      <c r="I27" s="392">
        <v>0</v>
      </c>
      <c r="J27" s="392">
        <v>0</v>
      </c>
      <c r="K27" s="392">
        <v>0</v>
      </c>
      <c r="L27" s="392">
        <v>0</v>
      </c>
      <c r="M27" s="392">
        <v>0</v>
      </c>
      <c r="N27" s="392">
        <v>0</v>
      </c>
      <c r="O27" s="392">
        <v>0</v>
      </c>
      <c r="P27" s="392"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</row>
    <row r="28" spans="1:54" ht="15.75" x14ac:dyDescent="0.25">
      <c r="A28" s="253"/>
      <c r="E28" s="134" t="s">
        <v>125</v>
      </c>
    </row>
    <row r="29" spans="1:54" x14ac:dyDescent="0.25">
      <c r="A29" s="258" t="str">
        <f>CONCATENATE($A$22,"_",D29,"_",$C$31)</f>
        <v>Дальневосточная ипотека_без отсрочки_ПВ15</v>
      </c>
      <c r="B29" s="259"/>
      <c r="C29" s="367"/>
      <c r="D29" s="261" t="s">
        <v>3</v>
      </c>
      <c r="E29" s="262">
        <f>E23</f>
        <v>0</v>
      </c>
      <c r="F29" s="262">
        <f t="shared" ref="F29:AH29" si="19">F23</f>
        <v>0.18149999999999999</v>
      </c>
      <c r="G29" s="262">
        <f t="shared" si="19"/>
        <v>0.1865</v>
      </c>
      <c r="H29" s="262">
        <f t="shared" si="19"/>
        <v>0.188</v>
      </c>
      <c r="I29" s="262">
        <f t="shared" si="19"/>
        <v>0.19450000000000001</v>
      </c>
      <c r="J29" s="262">
        <f t="shared" si="19"/>
        <v>0.20050000000000001</v>
      </c>
      <c r="K29" s="262">
        <f t="shared" si="19"/>
        <v>0.20300000000000001</v>
      </c>
      <c r="L29" s="262">
        <f t="shared" si="19"/>
        <v>0.20649999999999999</v>
      </c>
      <c r="M29" s="262">
        <f t="shared" si="19"/>
        <v>0.20899999999999999</v>
      </c>
      <c r="N29" s="262">
        <f t="shared" si="19"/>
        <v>0.21199999999999999</v>
      </c>
      <c r="O29" s="262">
        <f t="shared" si="19"/>
        <v>0.21850000000000003</v>
      </c>
      <c r="P29" s="262">
        <f t="shared" si="19"/>
        <v>0.223</v>
      </c>
      <c r="Q29" s="262">
        <f t="shared" si="19"/>
        <v>0</v>
      </c>
      <c r="R29" s="262">
        <f t="shared" si="19"/>
        <v>0</v>
      </c>
      <c r="S29" s="262">
        <f t="shared" si="19"/>
        <v>0</v>
      </c>
      <c r="T29" s="262">
        <f t="shared" si="19"/>
        <v>0</v>
      </c>
      <c r="U29" s="262">
        <f t="shared" si="19"/>
        <v>0</v>
      </c>
      <c r="V29" s="262">
        <f t="shared" si="19"/>
        <v>0</v>
      </c>
      <c r="W29" s="262">
        <f t="shared" si="19"/>
        <v>0</v>
      </c>
      <c r="X29" s="262">
        <f t="shared" si="19"/>
        <v>0</v>
      </c>
      <c r="Y29" s="262">
        <f t="shared" si="19"/>
        <v>0</v>
      </c>
      <c r="Z29" s="262">
        <f t="shared" si="19"/>
        <v>0</v>
      </c>
      <c r="AA29" s="262">
        <f t="shared" si="19"/>
        <v>0</v>
      </c>
      <c r="AB29" s="262">
        <f t="shared" si="19"/>
        <v>0</v>
      </c>
      <c r="AC29" s="262">
        <f t="shared" si="19"/>
        <v>0</v>
      </c>
      <c r="AD29" s="262">
        <f t="shared" si="19"/>
        <v>0</v>
      </c>
      <c r="AE29" s="262">
        <f t="shared" si="19"/>
        <v>0</v>
      </c>
      <c r="AF29" s="262">
        <f t="shared" si="19"/>
        <v>0</v>
      </c>
      <c r="AG29" s="262">
        <f t="shared" si="19"/>
        <v>0</v>
      </c>
      <c r="AH29" s="262">
        <f t="shared" si="19"/>
        <v>0</v>
      </c>
      <c r="AI29" s="262">
        <f t="shared" ref="AI29:AL29" si="20">AI23</f>
        <v>0</v>
      </c>
      <c r="AJ29" s="262">
        <f t="shared" si="20"/>
        <v>0</v>
      </c>
      <c r="AK29" s="262">
        <f t="shared" si="20"/>
        <v>0</v>
      </c>
      <c r="AL29" s="262">
        <f t="shared" si="20"/>
        <v>0</v>
      </c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</row>
    <row r="30" spans="1:54" x14ac:dyDescent="0.25">
      <c r="A30" s="258" t="str">
        <f t="shared" ref="A30:A33" si="21">CONCATENATE($A$22,"_",D30,"_",$C$31)</f>
        <v>Дальневосточная ипотека_6_ПВ15</v>
      </c>
      <c r="B30" s="259"/>
      <c r="C30" s="265"/>
      <c r="D30" s="261">
        <v>6</v>
      </c>
      <c r="E30" s="262">
        <f t="shared" ref="E30:AH30" si="22">E24</f>
        <v>0</v>
      </c>
      <c r="F30" s="262">
        <f t="shared" si="22"/>
        <v>0</v>
      </c>
      <c r="G30" s="262">
        <f t="shared" si="22"/>
        <v>0</v>
      </c>
      <c r="H30" s="262">
        <f t="shared" si="22"/>
        <v>0</v>
      </c>
      <c r="I30" s="262">
        <f t="shared" si="22"/>
        <v>0</v>
      </c>
      <c r="J30" s="262">
        <f t="shared" si="22"/>
        <v>0</v>
      </c>
      <c r="K30" s="262">
        <f t="shared" si="22"/>
        <v>0</v>
      </c>
      <c r="L30" s="262">
        <f t="shared" si="22"/>
        <v>0</v>
      </c>
      <c r="M30" s="262">
        <f t="shared" si="22"/>
        <v>0</v>
      </c>
      <c r="N30" s="262">
        <f t="shared" si="22"/>
        <v>0</v>
      </c>
      <c r="O30" s="262">
        <f t="shared" si="22"/>
        <v>0</v>
      </c>
      <c r="P30" s="262">
        <f t="shared" si="22"/>
        <v>0</v>
      </c>
      <c r="Q30" s="262">
        <f t="shared" si="22"/>
        <v>0</v>
      </c>
      <c r="R30" s="262">
        <f t="shared" si="22"/>
        <v>0</v>
      </c>
      <c r="S30" s="262">
        <f t="shared" si="22"/>
        <v>0</v>
      </c>
      <c r="T30" s="262">
        <f t="shared" si="22"/>
        <v>0</v>
      </c>
      <c r="U30" s="262">
        <f t="shared" si="22"/>
        <v>0</v>
      </c>
      <c r="V30" s="262">
        <f t="shared" si="22"/>
        <v>0</v>
      </c>
      <c r="W30" s="262">
        <f t="shared" si="22"/>
        <v>0</v>
      </c>
      <c r="X30" s="262">
        <f t="shared" si="22"/>
        <v>0</v>
      </c>
      <c r="Y30" s="262">
        <f t="shared" si="22"/>
        <v>0</v>
      </c>
      <c r="Z30" s="262">
        <f t="shared" si="22"/>
        <v>0</v>
      </c>
      <c r="AA30" s="262">
        <f t="shared" si="22"/>
        <v>0</v>
      </c>
      <c r="AB30" s="262">
        <f t="shared" si="22"/>
        <v>0</v>
      </c>
      <c r="AC30" s="262">
        <f t="shared" si="22"/>
        <v>0</v>
      </c>
      <c r="AD30" s="262">
        <f t="shared" si="22"/>
        <v>0</v>
      </c>
      <c r="AE30" s="262">
        <f t="shared" si="22"/>
        <v>0</v>
      </c>
      <c r="AF30" s="262">
        <f t="shared" si="22"/>
        <v>0</v>
      </c>
      <c r="AG30" s="262">
        <f t="shared" si="22"/>
        <v>0</v>
      </c>
      <c r="AH30" s="262">
        <f t="shared" si="22"/>
        <v>0</v>
      </c>
      <c r="AI30" s="262">
        <f t="shared" ref="AI30:AL30" si="23">AI24</f>
        <v>0</v>
      </c>
      <c r="AJ30" s="262">
        <f t="shared" si="23"/>
        <v>0</v>
      </c>
      <c r="AK30" s="262">
        <f t="shared" si="23"/>
        <v>0</v>
      </c>
      <c r="AL30" s="262">
        <f t="shared" si="23"/>
        <v>0</v>
      </c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</row>
    <row r="31" spans="1:54" x14ac:dyDescent="0.25">
      <c r="A31" s="258" t="str">
        <f t="shared" si="21"/>
        <v>Дальневосточная ипотека_12_ПВ15</v>
      </c>
      <c r="B31" s="259"/>
      <c r="C31" s="264" t="s">
        <v>125</v>
      </c>
      <c r="D31" s="261">
        <v>12</v>
      </c>
      <c r="E31" s="262">
        <f t="shared" ref="E31:AH31" si="24">E25</f>
        <v>0</v>
      </c>
      <c r="F31" s="262">
        <f t="shared" si="24"/>
        <v>0</v>
      </c>
      <c r="G31" s="262">
        <f t="shared" si="24"/>
        <v>0</v>
      </c>
      <c r="H31" s="262">
        <f t="shared" si="24"/>
        <v>0</v>
      </c>
      <c r="I31" s="262">
        <f t="shared" si="24"/>
        <v>0</v>
      </c>
      <c r="J31" s="262">
        <f t="shared" si="24"/>
        <v>0</v>
      </c>
      <c r="K31" s="262">
        <f t="shared" si="24"/>
        <v>0</v>
      </c>
      <c r="L31" s="262">
        <f t="shared" si="24"/>
        <v>0</v>
      </c>
      <c r="M31" s="262">
        <f t="shared" si="24"/>
        <v>0</v>
      </c>
      <c r="N31" s="262">
        <f t="shared" si="24"/>
        <v>0</v>
      </c>
      <c r="O31" s="262">
        <f t="shared" si="24"/>
        <v>0</v>
      </c>
      <c r="P31" s="262">
        <f t="shared" si="24"/>
        <v>0</v>
      </c>
      <c r="Q31" s="262">
        <f t="shared" si="24"/>
        <v>0</v>
      </c>
      <c r="R31" s="262">
        <f t="shared" si="24"/>
        <v>0</v>
      </c>
      <c r="S31" s="262">
        <f t="shared" si="24"/>
        <v>0</v>
      </c>
      <c r="T31" s="262">
        <f t="shared" si="24"/>
        <v>0</v>
      </c>
      <c r="U31" s="262">
        <f t="shared" si="24"/>
        <v>0</v>
      </c>
      <c r="V31" s="262">
        <f t="shared" si="24"/>
        <v>0</v>
      </c>
      <c r="W31" s="262">
        <f t="shared" si="24"/>
        <v>0</v>
      </c>
      <c r="X31" s="262">
        <f t="shared" si="24"/>
        <v>0</v>
      </c>
      <c r="Y31" s="262">
        <f t="shared" si="24"/>
        <v>0</v>
      </c>
      <c r="Z31" s="262">
        <f t="shared" si="24"/>
        <v>0</v>
      </c>
      <c r="AA31" s="262">
        <f t="shared" si="24"/>
        <v>0</v>
      </c>
      <c r="AB31" s="262">
        <f t="shared" si="24"/>
        <v>0</v>
      </c>
      <c r="AC31" s="262">
        <f t="shared" si="24"/>
        <v>0</v>
      </c>
      <c r="AD31" s="262">
        <f t="shared" si="24"/>
        <v>0</v>
      </c>
      <c r="AE31" s="262">
        <f t="shared" si="24"/>
        <v>0</v>
      </c>
      <c r="AF31" s="262">
        <f t="shared" si="24"/>
        <v>0</v>
      </c>
      <c r="AG31" s="262">
        <f t="shared" si="24"/>
        <v>0</v>
      </c>
      <c r="AH31" s="262">
        <f t="shared" si="24"/>
        <v>0</v>
      </c>
      <c r="AI31" s="262">
        <f t="shared" ref="AI31:AL31" si="25">AI25</f>
        <v>0</v>
      </c>
      <c r="AJ31" s="262">
        <f t="shared" si="25"/>
        <v>0</v>
      </c>
      <c r="AK31" s="262">
        <f t="shared" si="25"/>
        <v>0</v>
      </c>
      <c r="AL31" s="262">
        <f t="shared" si="25"/>
        <v>0</v>
      </c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</row>
    <row r="32" spans="1:54" s="70" customFormat="1" x14ac:dyDescent="0.25">
      <c r="A32" s="258" t="str">
        <f t="shared" si="21"/>
        <v>Дальневосточная ипотека_18_ПВ15</v>
      </c>
      <c r="B32" s="259"/>
      <c r="C32" s="265"/>
      <c r="D32" s="261">
        <v>18</v>
      </c>
      <c r="E32" s="262">
        <f t="shared" ref="E32:AH32" si="26">E26</f>
        <v>0</v>
      </c>
      <c r="F32" s="262">
        <f t="shared" si="26"/>
        <v>0</v>
      </c>
      <c r="G32" s="262">
        <f t="shared" si="26"/>
        <v>0</v>
      </c>
      <c r="H32" s="262">
        <f t="shared" si="26"/>
        <v>0</v>
      </c>
      <c r="I32" s="262">
        <f t="shared" si="26"/>
        <v>0</v>
      </c>
      <c r="J32" s="262">
        <f t="shared" si="26"/>
        <v>0</v>
      </c>
      <c r="K32" s="262">
        <f t="shared" si="26"/>
        <v>0</v>
      </c>
      <c r="L32" s="262">
        <f t="shared" si="26"/>
        <v>0</v>
      </c>
      <c r="M32" s="262">
        <f t="shared" si="26"/>
        <v>0</v>
      </c>
      <c r="N32" s="262">
        <f t="shared" si="26"/>
        <v>0</v>
      </c>
      <c r="O32" s="262">
        <f t="shared" si="26"/>
        <v>0</v>
      </c>
      <c r="P32" s="262">
        <f t="shared" si="26"/>
        <v>0</v>
      </c>
      <c r="Q32" s="262">
        <f t="shared" si="26"/>
        <v>0</v>
      </c>
      <c r="R32" s="262">
        <f t="shared" si="26"/>
        <v>0</v>
      </c>
      <c r="S32" s="262">
        <f t="shared" si="26"/>
        <v>0</v>
      </c>
      <c r="T32" s="262">
        <f t="shared" si="26"/>
        <v>0</v>
      </c>
      <c r="U32" s="262">
        <f t="shared" si="26"/>
        <v>0</v>
      </c>
      <c r="V32" s="262">
        <f t="shared" si="26"/>
        <v>0</v>
      </c>
      <c r="W32" s="262">
        <f t="shared" si="26"/>
        <v>0</v>
      </c>
      <c r="X32" s="262">
        <f t="shared" si="26"/>
        <v>0</v>
      </c>
      <c r="Y32" s="262">
        <f t="shared" si="26"/>
        <v>0</v>
      </c>
      <c r="Z32" s="262">
        <f t="shared" si="26"/>
        <v>0</v>
      </c>
      <c r="AA32" s="262">
        <f t="shared" si="26"/>
        <v>0</v>
      </c>
      <c r="AB32" s="262">
        <f t="shared" si="26"/>
        <v>0</v>
      </c>
      <c r="AC32" s="262">
        <f t="shared" si="26"/>
        <v>0</v>
      </c>
      <c r="AD32" s="262">
        <f t="shared" si="26"/>
        <v>0</v>
      </c>
      <c r="AE32" s="262">
        <f t="shared" si="26"/>
        <v>0</v>
      </c>
      <c r="AF32" s="262">
        <f t="shared" si="26"/>
        <v>0</v>
      </c>
      <c r="AG32" s="262">
        <f t="shared" si="26"/>
        <v>0</v>
      </c>
      <c r="AH32" s="262">
        <f t="shared" si="26"/>
        <v>0</v>
      </c>
      <c r="AI32" s="262">
        <f t="shared" ref="AI32:AL32" si="27">AI26</f>
        <v>0</v>
      </c>
      <c r="AJ32" s="262">
        <f t="shared" si="27"/>
        <v>0</v>
      </c>
      <c r="AK32" s="262">
        <f t="shared" si="27"/>
        <v>0</v>
      </c>
      <c r="AL32" s="262">
        <f t="shared" si="27"/>
        <v>0</v>
      </c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</row>
    <row r="33" spans="1:54" s="70" customFormat="1" x14ac:dyDescent="0.25">
      <c r="A33" s="258" t="str">
        <f t="shared" si="21"/>
        <v>Дальневосточная ипотека_24_ПВ15</v>
      </c>
      <c r="B33" s="259"/>
      <c r="C33" s="266"/>
      <c r="D33" s="261">
        <v>24</v>
      </c>
      <c r="E33" s="262">
        <f t="shared" ref="E33:AH33" si="28">E27</f>
        <v>0</v>
      </c>
      <c r="F33" s="262">
        <f t="shared" si="28"/>
        <v>0</v>
      </c>
      <c r="G33" s="262">
        <f t="shared" si="28"/>
        <v>0</v>
      </c>
      <c r="H33" s="262">
        <f t="shared" si="28"/>
        <v>0</v>
      </c>
      <c r="I33" s="262">
        <f t="shared" si="28"/>
        <v>0</v>
      </c>
      <c r="J33" s="262">
        <f t="shared" si="28"/>
        <v>0</v>
      </c>
      <c r="K33" s="262">
        <f t="shared" si="28"/>
        <v>0</v>
      </c>
      <c r="L33" s="262">
        <f t="shared" si="28"/>
        <v>0</v>
      </c>
      <c r="M33" s="262">
        <f t="shared" si="28"/>
        <v>0</v>
      </c>
      <c r="N33" s="262">
        <f t="shared" si="28"/>
        <v>0</v>
      </c>
      <c r="O33" s="262">
        <f t="shared" si="28"/>
        <v>0</v>
      </c>
      <c r="P33" s="262">
        <f t="shared" si="28"/>
        <v>0</v>
      </c>
      <c r="Q33" s="262">
        <f t="shared" si="28"/>
        <v>0</v>
      </c>
      <c r="R33" s="262">
        <f t="shared" si="28"/>
        <v>0</v>
      </c>
      <c r="S33" s="262">
        <f t="shared" si="28"/>
        <v>0</v>
      </c>
      <c r="T33" s="262">
        <f t="shared" si="28"/>
        <v>0</v>
      </c>
      <c r="U33" s="262">
        <f t="shared" si="28"/>
        <v>0</v>
      </c>
      <c r="V33" s="262">
        <f t="shared" si="28"/>
        <v>0</v>
      </c>
      <c r="W33" s="262">
        <f t="shared" si="28"/>
        <v>0</v>
      </c>
      <c r="X33" s="262">
        <f t="shared" si="28"/>
        <v>0</v>
      </c>
      <c r="Y33" s="262">
        <f t="shared" si="28"/>
        <v>0</v>
      </c>
      <c r="Z33" s="262">
        <f t="shared" si="28"/>
        <v>0</v>
      </c>
      <c r="AA33" s="262">
        <f t="shared" si="28"/>
        <v>0</v>
      </c>
      <c r="AB33" s="262">
        <f t="shared" si="28"/>
        <v>0</v>
      </c>
      <c r="AC33" s="262">
        <f t="shared" si="28"/>
        <v>0</v>
      </c>
      <c r="AD33" s="262">
        <f t="shared" si="28"/>
        <v>0</v>
      </c>
      <c r="AE33" s="262">
        <f t="shared" si="28"/>
        <v>0</v>
      </c>
      <c r="AF33" s="262">
        <f t="shared" si="28"/>
        <v>0</v>
      </c>
      <c r="AG33" s="262">
        <f t="shared" si="28"/>
        <v>0</v>
      </c>
      <c r="AH33" s="262">
        <f t="shared" si="28"/>
        <v>0</v>
      </c>
      <c r="AI33" s="262">
        <f t="shared" ref="AI33:AL33" si="29">AI27</f>
        <v>0</v>
      </c>
      <c r="AJ33" s="262">
        <f t="shared" si="29"/>
        <v>0</v>
      </c>
      <c r="AK33" s="262">
        <f t="shared" si="29"/>
        <v>0</v>
      </c>
      <c r="AL33" s="262">
        <f t="shared" si="29"/>
        <v>0</v>
      </c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</row>
    <row r="34" spans="1:54" s="70" customFormat="1" x14ac:dyDescent="0.25">
      <c r="C34" s="257"/>
      <c r="F34" s="71"/>
      <c r="G34" s="71"/>
      <c r="H34" s="71"/>
      <c r="I34" s="71"/>
      <c r="J34" s="71"/>
      <c r="K34" s="71"/>
      <c r="L34" s="71"/>
    </row>
    <row r="35" spans="1:54" s="41" customFormat="1" ht="15.75" x14ac:dyDescent="0.25">
      <c r="A35" s="436" t="str">
        <f>B7</f>
        <v>Ипотека для IT-специалистов</v>
      </c>
      <c r="C35" s="255"/>
      <c r="D35" s="42"/>
      <c r="E35" s="134" t="s">
        <v>124</v>
      </c>
      <c r="F35" s="43"/>
      <c r="G35" s="44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</row>
    <row r="36" spans="1:54" x14ac:dyDescent="0.25">
      <c r="A36" s="252" t="str">
        <f>CONCATENATE($A$35,"_",D36,"_",$C$38)</f>
        <v>Ипотека для IT-специалистов_без отсрочки_ПВ20</v>
      </c>
      <c r="B36" s="40"/>
      <c r="C36" s="366"/>
      <c r="D36" s="11" t="s">
        <v>3</v>
      </c>
      <c r="E36" s="262">
        <v>0</v>
      </c>
      <c r="F36" s="386">
        <v>0.183</v>
      </c>
      <c r="G36" s="386">
        <v>0.1855</v>
      </c>
      <c r="H36" s="386">
        <v>0.191</v>
      </c>
      <c r="I36" s="386">
        <v>0.19350000000000001</v>
      </c>
      <c r="J36" s="386">
        <v>0.22</v>
      </c>
      <c r="K36" s="386">
        <v>0.221</v>
      </c>
      <c r="L36" s="386">
        <v>0.222</v>
      </c>
      <c r="M36" s="386">
        <v>0.223</v>
      </c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</row>
    <row r="37" spans="1:54" x14ac:dyDescent="0.25">
      <c r="A37" s="252" t="str">
        <f t="shared" ref="A37:A40" si="30">CONCATENATE($A$35,"_",D37,"_",$C$38)</f>
        <v>Ипотека для IT-специалистов_6_ПВ20</v>
      </c>
      <c r="B37" s="251"/>
      <c r="C37" s="136"/>
      <c r="D37" s="11">
        <v>6</v>
      </c>
      <c r="E37" s="262">
        <v>0</v>
      </c>
      <c r="F37" s="392">
        <v>0</v>
      </c>
      <c r="G37" s="392">
        <v>0</v>
      </c>
      <c r="H37" s="392">
        <v>0</v>
      </c>
      <c r="I37" s="392">
        <v>0</v>
      </c>
      <c r="J37" s="392">
        <v>0</v>
      </c>
      <c r="K37" s="392">
        <v>0</v>
      </c>
      <c r="L37" s="392">
        <v>0</v>
      </c>
      <c r="M37" s="392">
        <v>0</v>
      </c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</row>
    <row r="38" spans="1:54" x14ac:dyDescent="0.25">
      <c r="A38" s="252" t="str">
        <f t="shared" si="30"/>
        <v>Ипотека для IT-специалистов_12_ПВ20</v>
      </c>
      <c r="B38" s="40"/>
      <c r="C38" s="135" t="s">
        <v>124</v>
      </c>
      <c r="D38" s="11">
        <v>12</v>
      </c>
      <c r="E38" s="262">
        <v>0</v>
      </c>
      <c r="F38" s="392">
        <v>0</v>
      </c>
      <c r="G38" s="392">
        <v>0</v>
      </c>
      <c r="H38" s="392">
        <v>0</v>
      </c>
      <c r="I38" s="392">
        <v>0</v>
      </c>
      <c r="J38" s="392">
        <v>0</v>
      </c>
      <c r="K38" s="392">
        <v>0</v>
      </c>
      <c r="L38" s="392">
        <v>0</v>
      </c>
      <c r="M38" s="392">
        <v>0</v>
      </c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</row>
    <row r="39" spans="1:54" x14ac:dyDescent="0.25">
      <c r="A39" s="252" t="str">
        <f t="shared" si="30"/>
        <v>Ипотека для IT-специалистов_18_ПВ20</v>
      </c>
      <c r="B39" s="40"/>
      <c r="C39" s="136"/>
      <c r="D39" s="11">
        <v>18</v>
      </c>
      <c r="E39" s="262">
        <v>0</v>
      </c>
      <c r="F39" s="392">
        <v>0</v>
      </c>
      <c r="G39" s="392">
        <v>0</v>
      </c>
      <c r="H39" s="392">
        <v>0</v>
      </c>
      <c r="I39" s="392">
        <v>0</v>
      </c>
      <c r="J39" s="392">
        <v>0</v>
      </c>
      <c r="K39" s="392">
        <v>0</v>
      </c>
      <c r="L39" s="392">
        <v>0</v>
      </c>
      <c r="M39" s="392">
        <v>0</v>
      </c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</row>
    <row r="40" spans="1:54" x14ac:dyDescent="0.25">
      <c r="A40" s="252" t="str">
        <f t="shared" si="30"/>
        <v>Ипотека для IT-специалистов_24_ПВ20</v>
      </c>
      <c r="B40" s="112"/>
      <c r="C40" s="137"/>
      <c r="D40" s="11">
        <v>24</v>
      </c>
      <c r="E40" s="262">
        <v>0</v>
      </c>
      <c r="F40" s="392">
        <v>0</v>
      </c>
      <c r="G40" s="392">
        <v>0</v>
      </c>
      <c r="H40" s="392">
        <v>0</v>
      </c>
      <c r="I40" s="392">
        <v>0</v>
      </c>
      <c r="J40" s="392">
        <v>0</v>
      </c>
      <c r="K40" s="392">
        <v>0</v>
      </c>
      <c r="L40" s="392">
        <v>0</v>
      </c>
      <c r="M40" s="392">
        <v>0</v>
      </c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</row>
    <row r="41" spans="1:54" ht="15.75" x14ac:dyDescent="0.25">
      <c r="A41" s="253"/>
      <c r="E41" s="134" t="s">
        <v>125</v>
      </c>
    </row>
    <row r="42" spans="1:54" x14ac:dyDescent="0.25">
      <c r="A42" s="258" t="str">
        <f>CONCATENATE($A$35,"_",D42,"_",$C$44)</f>
        <v>Ипотека для IT-специалистов_без отсрочки_ПВ15</v>
      </c>
      <c r="B42" s="259"/>
      <c r="C42" s="367"/>
      <c r="D42" s="261" t="s">
        <v>3</v>
      </c>
      <c r="E42" s="262">
        <f>E36</f>
        <v>0</v>
      </c>
      <c r="F42" s="262">
        <f t="shared" ref="F42:AH42" si="31">F36</f>
        <v>0.183</v>
      </c>
      <c r="G42" s="262">
        <f t="shared" si="31"/>
        <v>0.1855</v>
      </c>
      <c r="H42" s="262">
        <f t="shared" si="31"/>
        <v>0.191</v>
      </c>
      <c r="I42" s="262">
        <f t="shared" si="31"/>
        <v>0.19350000000000001</v>
      </c>
      <c r="J42" s="262">
        <f t="shared" si="31"/>
        <v>0.22</v>
      </c>
      <c r="K42" s="262">
        <f t="shared" si="31"/>
        <v>0.221</v>
      </c>
      <c r="L42" s="262">
        <f t="shared" si="31"/>
        <v>0.222</v>
      </c>
      <c r="M42" s="262">
        <f t="shared" si="31"/>
        <v>0.223</v>
      </c>
      <c r="N42" s="262">
        <f t="shared" si="31"/>
        <v>0</v>
      </c>
      <c r="O42" s="262">
        <f t="shared" si="31"/>
        <v>0</v>
      </c>
      <c r="P42" s="262">
        <f t="shared" si="31"/>
        <v>0</v>
      </c>
      <c r="Q42" s="262">
        <f t="shared" si="31"/>
        <v>0</v>
      </c>
      <c r="R42" s="262">
        <f t="shared" si="31"/>
        <v>0</v>
      </c>
      <c r="S42" s="262">
        <f t="shared" si="31"/>
        <v>0</v>
      </c>
      <c r="T42" s="262">
        <f t="shared" si="31"/>
        <v>0</v>
      </c>
      <c r="U42" s="262">
        <f t="shared" si="31"/>
        <v>0</v>
      </c>
      <c r="V42" s="262">
        <f t="shared" si="31"/>
        <v>0</v>
      </c>
      <c r="W42" s="262">
        <f t="shared" si="31"/>
        <v>0</v>
      </c>
      <c r="X42" s="262">
        <f t="shared" si="31"/>
        <v>0</v>
      </c>
      <c r="Y42" s="262">
        <f t="shared" si="31"/>
        <v>0</v>
      </c>
      <c r="Z42" s="262">
        <f t="shared" si="31"/>
        <v>0</v>
      </c>
      <c r="AA42" s="262">
        <f t="shared" si="31"/>
        <v>0</v>
      </c>
      <c r="AB42" s="262">
        <f t="shared" si="31"/>
        <v>0</v>
      </c>
      <c r="AC42" s="262">
        <f t="shared" si="31"/>
        <v>0</v>
      </c>
      <c r="AD42" s="262">
        <f t="shared" si="31"/>
        <v>0</v>
      </c>
      <c r="AE42" s="262">
        <f t="shared" si="31"/>
        <v>0</v>
      </c>
      <c r="AF42" s="262">
        <f t="shared" si="31"/>
        <v>0</v>
      </c>
      <c r="AG42" s="262">
        <f t="shared" si="31"/>
        <v>0</v>
      </c>
      <c r="AH42" s="262">
        <f t="shared" si="31"/>
        <v>0</v>
      </c>
      <c r="AI42" s="262">
        <f t="shared" ref="AI42:AL42" si="32">AI36</f>
        <v>0</v>
      </c>
      <c r="AJ42" s="262">
        <f t="shared" si="32"/>
        <v>0</v>
      </c>
      <c r="AK42" s="262">
        <f t="shared" si="32"/>
        <v>0</v>
      </c>
      <c r="AL42" s="262">
        <f t="shared" si="32"/>
        <v>0</v>
      </c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</row>
    <row r="43" spans="1:54" x14ac:dyDescent="0.25">
      <c r="A43" s="258" t="str">
        <f t="shared" ref="A43:A46" si="33">CONCATENATE($A$35,"_",D43,"_",$C$44)</f>
        <v>Ипотека для IT-специалистов_6_ПВ15</v>
      </c>
      <c r="B43" s="259"/>
      <c r="C43" s="265"/>
      <c r="D43" s="261">
        <v>6</v>
      </c>
      <c r="E43" s="262">
        <f t="shared" ref="E43:AH43" si="34">E37</f>
        <v>0</v>
      </c>
      <c r="F43" s="262">
        <f t="shared" si="34"/>
        <v>0</v>
      </c>
      <c r="G43" s="262">
        <f t="shared" si="34"/>
        <v>0</v>
      </c>
      <c r="H43" s="262">
        <f t="shared" si="34"/>
        <v>0</v>
      </c>
      <c r="I43" s="262">
        <f t="shared" si="34"/>
        <v>0</v>
      </c>
      <c r="J43" s="262">
        <f t="shared" si="34"/>
        <v>0</v>
      </c>
      <c r="K43" s="262">
        <f t="shared" si="34"/>
        <v>0</v>
      </c>
      <c r="L43" s="262">
        <f t="shared" si="34"/>
        <v>0</v>
      </c>
      <c r="M43" s="262">
        <f t="shared" si="34"/>
        <v>0</v>
      </c>
      <c r="N43" s="262">
        <f t="shared" si="34"/>
        <v>0</v>
      </c>
      <c r="O43" s="262">
        <f t="shared" si="34"/>
        <v>0</v>
      </c>
      <c r="P43" s="262">
        <f t="shared" si="34"/>
        <v>0</v>
      </c>
      <c r="Q43" s="262">
        <f t="shared" si="34"/>
        <v>0</v>
      </c>
      <c r="R43" s="262">
        <f t="shared" si="34"/>
        <v>0</v>
      </c>
      <c r="S43" s="262">
        <f t="shared" si="34"/>
        <v>0</v>
      </c>
      <c r="T43" s="262">
        <f t="shared" si="34"/>
        <v>0</v>
      </c>
      <c r="U43" s="262">
        <f t="shared" si="34"/>
        <v>0</v>
      </c>
      <c r="V43" s="262">
        <f t="shared" si="34"/>
        <v>0</v>
      </c>
      <c r="W43" s="262">
        <f t="shared" si="34"/>
        <v>0</v>
      </c>
      <c r="X43" s="262">
        <f t="shared" si="34"/>
        <v>0</v>
      </c>
      <c r="Y43" s="262">
        <f t="shared" si="34"/>
        <v>0</v>
      </c>
      <c r="Z43" s="262">
        <f t="shared" si="34"/>
        <v>0</v>
      </c>
      <c r="AA43" s="262">
        <f t="shared" si="34"/>
        <v>0</v>
      </c>
      <c r="AB43" s="262">
        <f t="shared" si="34"/>
        <v>0</v>
      </c>
      <c r="AC43" s="262">
        <f t="shared" si="34"/>
        <v>0</v>
      </c>
      <c r="AD43" s="262">
        <f t="shared" si="34"/>
        <v>0</v>
      </c>
      <c r="AE43" s="262">
        <f t="shared" si="34"/>
        <v>0</v>
      </c>
      <c r="AF43" s="262">
        <f t="shared" si="34"/>
        <v>0</v>
      </c>
      <c r="AG43" s="262">
        <f t="shared" si="34"/>
        <v>0</v>
      </c>
      <c r="AH43" s="262">
        <f t="shared" si="34"/>
        <v>0</v>
      </c>
      <c r="AI43" s="262">
        <f t="shared" ref="AI43:AL43" si="35">AI37</f>
        <v>0</v>
      </c>
      <c r="AJ43" s="262">
        <f t="shared" si="35"/>
        <v>0</v>
      </c>
      <c r="AK43" s="262">
        <f t="shared" si="35"/>
        <v>0</v>
      </c>
      <c r="AL43" s="262">
        <f t="shared" si="35"/>
        <v>0</v>
      </c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</row>
    <row r="44" spans="1:54" x14ac:dyDescent="0.25">
      <c r="A44" s="258" t="str">
        <f t="shared" si="33"/>
        <v>Ипотека для IT-специалистов_12_ПВ15</v>
      </c>
      <c r="B44" s="259"/>
      <c r="C44" s="264" t="s">
        <v>125</v>
      </c>
      <c r="D44" s="261">
        <v>12</v>
      </c>
      <c r="E44" s="262">
        <f t="shared" ref="E44:AH44" si="36">E38</f>
        <v>0</v>
      </c>
      <c r="F44" s="262">
        <f t="shared" si="36"/>
        <v>0</v>
      </c>
      <c r="G44" s="262">
        <f t="shared" si="36"/>
        <v>0</v>
      </c>
      <c r="H44" s="262">
        <f t="shared" si="36"/>
        <v>0</v>
      </c>
      <c r="I44" s="262">
        <f t="shared" si="36"/>
        <v>0</v>
      </c>
      <c r="J44" s="262">
        <f t="shared" si="36"/>
        <v>0</v>
      </c>
      <c r="K44" s="262">
        <f t="shared" si="36"/>
        <v>0</v>
      </c>
      <c r="L44" s="262">
        <f t="shared" si="36"/>
        <v>0</v>
      </c>
      <c r="M44" s="262">
        <f t="shared" si="36"/>
        <v>0</v>
      </c>
      <c r="N44" s="262">
        <f t="shared" si="36"/>
        <v>0</v>
      </c>
      <c r="O44" s="262">
        <f t="shared" si="36"/>
        <v>0</v>
      </c>
      <c r="P44" s="262">
        <f t="shared" si="36"/>
        <v>0</v>
      </c>
      <c r="Q44" s="262">
        <f t="shared" si="36"/>
        <v>0</v>
      </c>
      <c r="R44" s="262">
        <f t="shared" si="36"/>
        <v>0</v>
      </c>
      <c r="S44" s="262">
        <f t="shared" si="36"/>
        <v>0</v>
      </c>
      <c r="T44" s="262">
        <f t="shared" si="36"/>
        <v>0</v>
      </c>
      <c r="U44" s="262">
        <f t="shared" si="36"/>
        <v>0</v>
      </c>
      <c r="V44" s="262">
        <f t="shared" si="36"/>
        <v>0</v>
      </c>
      <c r="W44" s="262">
        <f t="shared" si="36"/>
        <v>0</v>
      </c>
      <c r="X44" s="262">
        <f t="shared" si="36"/>
        <v>0</v>
      </c>
      <c r="Y44" s="262">
        <f t="shared" si="36"/>
        <v>0</v>
      </c>
      <c r="Z44" s="262">
        <f t="shared" si="36"/>
        <v>0</v>
      </c>
      <c r="AA44" s="262">
        <f t="shared" si="36"/>
        <v>0</v>
      </c>
      <c r="AB44" s="262">
        <f t="shared" si="36"/>
        <v>0</v>
      </c>
      <c r="AC44" s="262">
        <f t="shared" si="36"/>
        <v>0</v>
      </c>
      <c r="AD44" s="262">
        <f t="shared" si="36"/>
        <v>0</v>
      </c>
      <c r="AE44" s="262">
        <f t="shared" si="36"/>
        <v>0</v>
      </c>
      <c r="AF44" s="262">
        <f t="shared" si="36"/>
        <v>0</v>
      </c>
      <c r="AG44" s="262">
        <f t="shared" si="36"/>
        <v>0</v>
      </c>
      <c r="AH44" s="262">
        <f t="shared" si="36"/>
        <v>0</v>
      </c>
      <c r="AI44" s="262">
        <f t="shared" ref="AI44:AL44" si="37">AI38</f>
        <v>0</v>
      </c>
      <c r="AJ44" s="262">
        <f t="shared" si="37"/>
        <v>0</v>
      </c>
      <c r="AK44" s="262">
        <f t="shared" si="37"/>
        <v>0</v>
      </c>
      <c r="AL44" s="262">
        <f t="shared" si="37"/>
        <v>0</v>
      </c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</row>
    <row r="45" spans="1:54" s="70" customFormat="1" x14ac:dyDescent="0.25">
      <c r="A45" s="258" t="str">
        <f t="shared" si="33"/>
        <v>Ипотека для IT-специалистов_18_ПВ15</v>
      </c>
      <c r="B45" s="259"/>
      <c r="C45" s="265"/>
      <c r="D45" s="261">
        <v>18</v>
      </c>
      <c r="E45" s="262">
        <f t="shared" ref="E45:AH45" si="38">E39</f>
        <v>0</v>
      </c>
      <c r="F45" s="262">
        <f t="shared" si="38"/>
        <v>0</v>
      </c>
      <c r="G45" s="262">
        <f t="shared" si="38"/>
        <v>0</v>
      </c>
      <c r="H45" s="262">
        <f t="shared" si="38"/>
        <v>0</v>
      </c>
      <c r="I45" s="262">
        <f t="shared" si="38"/>
        <v>0</v>
      </c>
      <c r="J45" s="262">
        <f t="shared" si="38"/>
        <v>0</v>
      </c>
      <c r="K45" s="262">
        <f t="shared" si="38"/>
        <v>0</v>
      </c>
      <c r="L45" s="262">
        <f t="shared" si="38"/>
        <v>0</v>
      </c>
      <c r="M45" s="262">
        <f t="shared" si="38"/>
        <v>0</v>
      </c>
      <c r="N45" s="262">
        <f t="shared" si="38"/>
        <v>0</v>
      </c>
      <c r="O45" s="262">
        <f t="shared" si="38"/>
        <v>0</v>
      </c>
      <c r="P45" s="262">
        <f t="shared" si="38"/>
        <v>0</v>
      </c>
      <c r="Q45" s="262">
        <f t="shared" si="38"/>
        <v>0</v>
      </c>
      <c r="R45" s="262">
        <f t="shared" si="38"/>
        <v>0</v>
      </c>
      <c r="S45" s="262">
        <f t="shared" si="38"/>
        <v>0</v>
      </c>
      <c r="T45" s="262">
        <f t="shared" si="38"/>
        <v>0</v>
      </c>
      <c r="U45" s="262">
        <f t="shared" si="38"/>
        <v>0</v>
      </c>
      <c r="V45" s="262">
        <f t="shared" si="38"/>
        <v>0</v>
      </c>
      <c r="W45" s="262">
        <f t="shared" si="38"/>
        <v>0</v>
      </c>
      <c r="X45" s="262">
        <f t="shared" si="38"/>
        <v>0</v>
      </c>
      <c r="Y45" s="262">
        <f t="shared" si="38"/>
        <v>0</v>
      </c>
      <c r="Z45" s="262">
        <f t="shared" si="38"/>
        <v>0</v>
      </c>
      <c r="AA45" s="262">
        <f t="shared" si="38"/>
        <v>0</v>
      </c>
      <c r="AB45" s="262">
        <f t="shared" si="38"/>
        <v>0</v>
      </c>
      <c r="AC45" s="262">
        <f t="shared" si="38"/>
        <v>0</v>
      </c>
      <c r="AD45" s="262">
        <f t="shared" si="38"/>
        <v>0</v>
      </c>
      <c r="AE45" s="262">
        <f t="shared" si="38"/>
        <v>0</v>
      </c>
      <c r="AF45" s="262">
        <f t="shared" si="38"/>
        <v>0</v>
      </c>
      <c r="AG45" s="262">
        <f t="shared" si="38"/>
        <v>0</v>
      </c>
      <c r="AH45" s="262">
        <f t="shared" si="38"/>
        <v>0</v>
      </c>
      <c r="AI45" s="262">
        <f t="shared" ref="AI45:AL45" si="39">AI39</f>
        <v>0</v>
      </c>
      <c r="AJ45" s="262">
        <f t="shared" si="39"/>
        <v>0</v>
      </c>
      <c r="AK45" s="262">
        <f t="shared" si="39"/>
        <v>0</v>
      </c>
      <c r="AL45" s="262">
        <f t="shared" si="39"/>
        <v>0</v>
      </c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</row>
    <row r="46" spans="1:54" s="70" customFormat="1" x14ac:dyDescent="0.25">
      <c r="A46" s="258" t="str">
        <f t="shared" si="33"/>
        <v>Ипотека для IT-специалистов_24_ПВ15</v>
      </c>
      <c r="B46" s="259"/>
      <c r="C46" s="266"/>
      <c r="D46" s="261">
        <v>24</v>
      </c>
      <c r="E46" s="262">
        <f t="shared" ref="E46:AH46" si="40">E40</f>
        <v>0</v>
      </c>
      <c r="F46" s="262">
        <f t="shared" si="40"/>
        <v>0</v>
      </c>
      <c r="G46" s="262">
        <f t="shared" si="40"/>
        <v>0</v>
      </c>
      <c r="H46" s="262">
        <f t="shared" si="40"/>
        <v>0</v>
      </c>
      <c r="I46" s="262">
        <f t="shared" si="40"/>
        <v>0</v>
      </c>
      <c r="J46" s="262">
        <f t="shared" si="40"/>
        <v>0</v>
      </c>
      <c r="K46" s="262">
        <f t="shared" si="40"/>
        <v>0</v>
      </c>
      <c r="L46" s="262">
        <f t="shared" si="40"/>
        <v>0</v>
      </c>
      <c r="M46" s="262">
        <f t="shared" si="40"/>
        <v>0</v>
      </c>
      <c r="N46" s="262">
        <f t="shared" si="40"/>
        <v>0</v>
      </c>
      <c r="O46" s="262">
        <f t="shared" si="40"/>
        <v>0</v>
      </c>
      <c r="P46" s="262">
        <f t="shared" si="40"/>
        <v>0</v>
      </c>
      <c r="Q46" s="262">
        <f t="shared" si="40"/>
        <v>0</v>
      </c>
      <c r="R46" s="262">
        <f t="shared" si="40"/>
        <v>0</v>
      </c>
      <c r="S46" s="262">
        <f t="shared" si="40"/>
        <v>0</v>
      </c>
      <c r="T46" s="262">
        <f t="shared" si="40"/>
        <v>0</v>
      </c>
      <c r="U46" s="262">
        <f t="shared" si="40"/>
        <v>0</v>
      </c>
      <c r="V46" s="262">
        <f t="shared" si="40"/>
        <v>0</v>
      </c>
      <c r="W46" s="262">
        <f t="shared" si="40"/>
        <v>0</v>
      </c>
      <c r="X46" s="262">
        <f t="shared" si="40"/>
        <v>0</v>
      </c>
      <c r="Y46" s="262">
        <f t="shared" si="40"/>
        <v>0</v>
      </c>
      <c r="Z46" s="262">
        <f t="shared" si="40"/>
        <v>0</v>
      </c>
      <c r="AA46" s="262">
        <f t="shared" si="40"/>
        <v>0</v>
      </c>
      <c r="AB46" s="262">
        <f t="shared" si="40"/>
        <v>0</v>
      </c>
      <c r="AC46" s="262">
        <f t="shared" si="40"/>
        <v>0</v>
      </c>
      <c r="AD46" s="262">
        <f t="shared" si="40"/>
        <v>0</v>
      </c>
      <c r="AE46" s="262">
        <f t="shared" si="40"/>
        <v>0</v>
      </c>
      <c r="AF46" s="262">
        <f t="shared" si="40"/>
        <v>0</v>
      </c>
      <c r="AG46" s="262">
        <f t="shared" si="40"/>
        <v>0</v>
      </c>
      <c r="AH46" s="262">
        <f t="shared" si="40"/>
        <v>0</v>
      </c>
      <c r="AI46" s="262">
        <f t="shared" ref="AI46:AL46" si="41">AI40</f>
        <v>0</v>
      </c>
      <c r="AJ46" s="262">
        <f t="shared" si="41"/>
        <v>0</v>
      </c>
      <c r="AK46" s="262">
        <f t="shared" si="41"/>
        <v>0</v>
      </c>
      <c r="AL46" s="262">
        <f t="shared" si="41"/>
        <v>0</v>
      </c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</row>
    <row r="47" spans="1:54" s="70" customFormat="1" x14ac:dyDescent="0.25">
      <c r="C47" s="257"/>
      <c r="F47" s="71"/>
      <c r="G47" s="71"/>
      <c r="H47" s="71"/>
      <c r="I47" s="71"/>
      <c r="J47" s="71"/>
      <c r="K47" s="71"/>
      <c r="L47" s="71"/>
    </row>
    <row r="48" spans="1:54" s="70" customFormat="1" ht="15.75" x14ac:dyDescent="0.25">
      <c r="A48" s="436" t="str">
        <f>B4</f>
        <v>Новостройка</v>
      </c>
      <c r="C48" s="257"/>
      <c r="E48" s="134" t="s">
        <v>124</v>
      </c>
      <c r="F48" s="71"/>
      <c r="G48" s="71"/>
      <c r="H48" s="71"/>
      <c r="I48" s="71"/>
      <c r="J48" s="71"/>
      <c r="K48" s="71"/>
      <c r="L48" s="71"/>
    </row>
    <row r="49" spans="1:54" ht="15" customHeight="1" x14ac:dyDescent="0.25">
      <c r="A49" s="252" t="s">
        <v>174</v>
      </c>
      <c r="B49" s="40"/>
      <c r="C49" s="366"/>
      <c r="D49" s="11" t="s">
        <v>3</v>
      </c>
      <c r="E49" s="262">
        <v>0</v>
      </c>
      <c r="F49" s="384">
        <v>8.5000000000000006E-2</v>
      </c>
      <c r="G49" s="384">
        <v>0.09</v>
      </c>
      <c r="H49" s="384">
        <v>9.5000000000000001E-2</v>
      </c>
      <c r="I49" s="384">
        <v>0.1</v>
      </c>
      <c r="J49" s="384">
        <v>0.105</v>
      </c>
      <c r="K49" s="384">
        <v>0.11</v>
      </c>
      <c r="L49" s="384">
        <v>0.115</v>
      </c>
      <c r="M49" s="384">
        <v>0.12</v>
      </c>
      <c r="N49" s="384">
        <v>0.125</v>
      </c>
      <c r="O49" s="384">
        <v>0.13</v>
      </c>
      <c r="P49" s="384">
        <v>0.13500000000000001</v>
      </c>
      <c r="Q49" s="384">
        <v>0.14000000000000001</v>
      </c>
      <c r="R49" s="384">
        <v>0.14499999999999999</v>
      </c>
      <c r="S49" s="384">
        <v>0.15</v>
      </c>
      <c r="T49" s="384">
        <v>0.155</v>
      </c>
      <c r="U49" s="384">
        <v>0.16</v>
      </c>
      <c r="V49" s="384">
        <v>0.16500000000000001</v>
      </c>
      <c r="W49" s="384">
        <v>0.17</v>
      </c>
      <c r="X49" s="384">
        <v>0.17499999999999999</v>
      </c>
      <c r="Y49" s="384">
        <v>0.18</v>
      </c>
      <c r="Z49" s="384">
        <v>0.185</v>
      </c>
      <c r="AA49" s="384">
        <v>0.19</v>
      </c>
      <c r="AB49" s="384">
        <v>0.19500000000000001</v>
      </c>
      <c r="AC49" s="384">
        <v>0.2</v>
      </c>
      <c r="AD49" s="384">
        <v>0.20499999999999999</v>
      </c>
      <c r="AE49" s="384">
        <v>0.21</v>
      </c>
      <c r="AF49" s="384">
        <v>0.215</v>
      </c>
      <c r="AG49" s="384">
        <v>0.22</v>
      </c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1"/>
      <c r="AT49" s="91"/>
      <c r="AU49" s="91"/>
      <c r="AV49" s="91"/>
      <c r="AW49" s="91"/>
      <c r="AX49" s="91"/>
      <c r="AY49" s="91"/>
      <c r="AZ49" s="91"/>
      <c r="BA49" s="91"/>
      <c r="BB49" s="91"/>
    </row>
    <row r="50" spans="1:54" ht="15" customHeight="1" x14ac:dyDescent="0.25">
      <c r="A50" s="252" t="s">
        <v>175</v>
      </c>
      <c r="B50" s="251"/>
      <c r="C50" s="136"/>
      <c r="D50" s="11">
        <v>6</v>
      </c>
      <c r="E50" s="263">
        <v>0</v>
      </c>
      <c r="F50" s="393">
        <v>0</v>
      </c>
      <c r="G50" s="393">
        <v>0</v>
      </c>
      <c r="H50" s="393">
        <v>0</v>
      </c>
      <c r="I50" s="393">
        <v>0</v>
      </c>
      <c r="J50" s="393">
        <v>0</v>
      </c>
      <c r="K50" s="393">
        <v>0</v>
      </c>
      <c r="L50" s="393">
        <v>0</v>
      </c>
      <c r="M50" s="393">
        <v>0</v>
      </c>
      <c r="N50" s="393">
        <v>0</v>
      </c>
      <c r="O50" s="393">
        <v>0</v>
      </c>
      <c r="P50" s="393">
        <v>0</v>
      </c>
      <c r="Q50" s="393">
        <v>0</v>
      </c>
      <c r="R50" s="393">
        <v>0</v>
      </c>
      <c r="S50" s="393">
        <v>0</v>
      </c>
      <c r="T50" s="393">
        <v>0</v>
      </c>
      <c r="U50" s="393">
        <v>0</v>
      </c>
      <c r="V50" s="393">
        <v>0</v>
      </c>
      <c r="W50" s="393">
        <v>0</v>
      </c>
      <c r="X50" s="393">
        <v>0</v>
      </c>
      <c r="Y50" s="393">
        <v>0</v>
      </c>
      <c r="Z50" s="393">
        <v>0</v>
      </c>
      <c r="AA50" s="393">
        <v>0</v>
      </c>
      <c r="AB50" s="393">
        <v>0</v>
      </c>
      <c r="AC50" s="393">
        <v>0</v>
      </c>
      <c r="AD50" s="393">
        <v>0</v>
      </c>
      <c r="AE50" s="393">
        <v>0</v>
      </c>
      <c r="AF50" s="393">
        <v>0</v>
      </c>
      <c r="AG50" s="393">
        <v>0</v>
      </c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</row>
    <row r="51" spans="1:54" x14ac:dyDescent="0.25">
      <c r="A51" s="252" t="s">
        <v>176</v>
      </c>
      <c r="B51" s="40"/>
      <c r="C51" s="135" t="s">
        <v>116</v>
      </c>
      <c r="D51" s="11">
        <v>12</v>
      </c>
      <c r="E51" s="263">
        <v>0</v>
      </c>
      <c r="F51" s="393">
        <v>0</v>
      </c>
      <c r="G51" s="393">
        <v>0</v>
      </c>
      <c r="H51" s="393">
        <v>0</v>
      </c>
      <c r="I51" s="393">
        <v>0</v>
      </c>
      <c r="J51" s="393">
        <v>0</v>
      </c>
      <c r="K51" s="393">
        <v>0</v>
      </c>
      <c r="L51" s="393">
        <v>0</v>
      </c>
      <c r="M51" s="393">
        <v>0</v>
      </c>
      <c r="N51" s="393">
        <v>0</v>
      </c>
      <c r="O51" s="393">
        <v>0</v>
      </c>
      <c r="P51" s="393">
        <v>0</v>
      </c>
      <c r="Q51" s="393">
        <v>0</v>
      </c>
      <c r="R51" s="393">
        <v>0</v>
      </c>
      <c r="S51" s="393">
        <v>0</v>
      </c>
      <c r="T51" s="393">
        <v>0</v>
      </c>
      <c r="U51" s="393">
        <v>0</v>
      </c>
      <c r="V51" s="393">
        <v>0</v>
      </c>
      <c r="W51" s="393">
        <v>0</v>
      </c>
      <c r="X51" s="393">
        <v>0</v>
      </c>
      <c r="Y51" s="393">
        <v>0</v>
      </c>
      <c r="Z51" s="393">
        <v>0</v>
      </c>
      <c r="AA51" s="393">
        <v>0</v>
      </c>
      <c r="AB51" s="393">
        <v>0</v>
      </c>
      <c r="AC51" s="393">
        <v>0</v>
      </c>
      <c r="AD51" s="393">
        <v>0</v>
      </c>
      <c r="AE51" s="393">
        <v>0</v>
      </c>
      <c r="AF51" s="393">
        <v>0</v>
      </c>
      <c r="AG51" s="393">
        <v>0</v>
      </c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</row>
    <row r="52" spans="1:54" x14ac:dyDescent="0.25">
      <c r="A52" s="252" t="s">
        <v>177</v>
      </c>
      <c r="B52" s="40"/>
      <c r="C52" s="136"/>
      <c r="D52" s="11">
        <v>18</v>
      </c>
      <c r="E52" s="263">
        <v>0</v>
      </c>
      <c r="F52" s="393">
        <v>0</v>
      </c>
      <c r="G52" s="393">
        <v>0</v>
      </c>
      <c r="H52" s="393">
        <v>0</v>
      </c>
      <c r="I52" s="393">
        <v>0</v>
      </c>
      <c r="J52" s="393">
        <v>0</v>
      </c>
      <c r="K52" s="393">
        <v>0</v>
      </c>
      <c r="L52" s="393">
        <v>0</v>
      </c>
      <c r="M52" s="393">
        <v>0</v>
      </c>
      <c r="N52" s="393">
        <v>0</v>
      </c>
      <c r="O52" s="393">
        <v>0</v>
      </c>
      <c r="P52" s="393">
        <v>0</v>
      </c>
      <c r="Q52" s="393">
        <v>0</v>
      </c>
      <c r="R52" s="393">
        <v>0</v>
      </c>
      <c r="S52" s="393">
        <v>0</v>
      </c>
      <c r="T52" s="393">
        <v>0</v>
      </c>
      <c r="U52" s="393">
        <v>0</v>
      </c>
      <c r="V52" s="393">
        <v>0</v>
      </c>
      <c r="W52" s="393">
        <v>0</v>
      </c>
      <c r="X52" s="393">
        <v>0</v>
      </c>
      <c r="Y52" s="393">
        <v>0</v>
      </c>
      <c r="Z52" s="393">
        <v>0</v>
      </c>
      <c r="AA52" s="393">
        <v>0</v>
      </c>
      <c r="AB52" s="393">
        <v>0</v>
      </c>
      <c r="AC52" s="393">
        <v>0</v>
      </c>
      <c r="AD52" s="393">
        <v>0</v>
      </c>
      <c r="AE52" s="393">
        <v>0</v>
      </c>
      <c r="AF52" s="393">
        <v>0</v>
      </c>
      <c r="AG52" s="393">
        <v>0</v>
      </c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</row>
    <row r="53" spans="1:54" x14ac:dyDescent="0.25">
      <c r="A53" s="252" t="s">
        <v>178</v>
      </c>
      <c r="B53" s="112"/>
      <c r="C53" s="137"/>
      <c r="D53" s="11">
        <v>24</v>
      </c>
      <c r="E53" s="263">
        <v>0</v>
      </c>
      <c r="F53" s="393">
        <v>0</v>
      </c>
      <c r="G53" s="393">
        <v>0</v>
      </c>
      <c r="H53" s="393">
        <v>0</v>
      </c>
      <c r="I53" s="393">
        <v>0</v>
      </c>
      <c r="J53" s="393">
        <v>0</v>
      </c>
      <c r="K53" s="393">
        <v>0</v>
      </c>
      <c r="L53" s="393">
        <v>0</v>
      </c>
      <c r="M53" s="393">
        <v>0</v>
      </c>
      <c r="N53" s="393">
        <v>0</v>
      </c>
      <c r="O53" s="393">
        <v>0</v>
      </c>
      <c r="P53" s="393">
        <v>0</v>
      </c>
      <c r="Q53" s="393">
        <v>0</v>
      </c>
      <c r="R53" s="393">
        <v>0</v>
      </c>
      <c r="S53" s="393">
        <v>0</v>
      </c>
      <c r="T53" s="393">
        <v>0</v>
      </c>
      <c r="U53" s="393">
        <v>0</v>
      </c>
      <c r="V53" s="393">
        <v>0</v>
      </c>
      <c r="W53" s="393">
        <v>0</v>
      </c>
      <c r="X53" s="393">
        <v>0</v>
      </c>
      <c r="Y53" s="393">
        <v>0</v>
      </c>
      <c r="Z53" s="393">
        <v>0</v>
      </c>
      <c r="AA53" s="393">
        <v>0</v>
      </c>
      <c r="AB53" s="393">
        <v>0</v>
      </c>
      <c r="AC53" s="393">
        <v>0</v>
      </c>
      <c r="AD53" s="393">
        <v>0</v>
      </c>
      <c r="AE53" s="393">
        <v>0</v>
      </c>
      <c r="AF53" s="393">
        <v>0</v>
      </c>
      <c r="AG53" s="393">
        <v>0</v>
      </c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</row>
    <row r="54" spans="1:54" ht="15.75" x14ac:dyDescent="0.25">
      <c r="E54" s="134" t="s">
        <v>125</v>
      </c>
      <c r="AI54" s="249"/>
      <c r="AJ54" s="249"/>
      <c r="AK54" s="249"/>
    </row>
    <row r="55" spans="1:54" x14ac:dyDescent="0.25">
      <c r="A55" s="252" t="s">
        <v>179</v>
      </c>
      <c r="B55" s="38"/>
      <c r="C55" s="366"/>
      <c r="D55" s="261" t="s">
        <v>3</v>
      </c>
      <c r="E55" s="262">
        <f>E49</f>
        <v>0</v>
      </c>
      <c r="F55" s="262">
        <f>F49</f>
        <v>8.5000000000000006E-2</v>
      </c>
      <c r="G55" s="262">
        <f t="shared" ref="G55:AG55" si="42">G49</f>
        <v>0.09</v>
      </c>
      <c r="H55" s="262">
        <f t="shared" si="42"/>
        <v>9.5000000000000001E-2</v>
      </c>
      <c r="I55" s="262">
        <f t="shared" si="42"/>
        <v>0.1</v>
      </c>
      <c r="J55" s="262">
        <f t="shared" si="42"/>
        <v>0.105</v>
      </c>
      <c r="K55" s="262">
        <f t="shared" si="42"/>
        <v>0.11</v>
      </c>
      <c r="L55" s="262">
        <f t="shared" si="42"/>
        <v>0.115</v>
      </c>
      <c r="M55" s="262">
        <f t="shared" si="42"/>
        <v>0.12</v>
      </c>
      <c r="N55" s="262">
        <f t="shared" si="42"/>
        <v>0.125</v>
      </c>
      <c r="O55" s="262">
        <f t="shared" si="42"/>
        <v>0.13</v>
      </c>
      <c r="P55" s="262">
        <f t="shared" si="42"/>
        <v>0.13500000000000001</v>
      </c>
      <c r="Q55" s="262">
        <f t="shared" si="42"/>
        <v>0.14000000000000001</v>
      </c>
      <c r="R55" s="262">
        <f t="shared" si="42"/>
        <v>0.14499999999999999</v>
      </c>
      <c r="S55" s="262">
        <f t="shared" si="42"/>
        <v>0.15</v>
      </c>
      <c r="T55" s="262">
        <f t="shared" si="42"/>
        <v>0.155</v>
      </c>
      <c r="U55" s="262">
        <f t="shared" si="42"/>
        <v>0.16</v>
      </c>
      <c r="V55" s="262">
        <f t="shared" si="42"/>
        <v>0.16500000000000001</v>
      </c>
      <c r="W55" s="262">
        <f t="shared" si="42"/>
        <v>0.17</v>
      </c>
      <c r="X55" s="262">
        <f t="shared" si="42"/>
        <v>0.17499999999999999</v>
      </c>
      <c r="Y55" s="262">
        <f t="shared" si="42"/>
        <v>0.18</v>
      </c>
      <c r="Z55" s="262">
        <f t="shared" si="42"/>
        <v>0.185</v>
      </c>
      <c r="AA55" s="262">
        <f t="shared" si="42"/>
        <v>0.19</v>
      </c>
      <c r="AB55" s="262">
        <f t="shared" si="42"/>
        <v>0.19500000000000001</v>
      </c>
      <c r="AC55" s="262">
        <f t="shared" si="42"/>
        <v>0.2</v>
      </c>
      <c r="AD55" s="262">
        <f t="shared" si="42"/>
        <v>0.20499999999999999</v>
      </c>
      <c r="AE55" s="262">
        <f t="shared" si="42"/>
        <v>0.21</v>
      </c>
      <c r="AF55" s="262">
        <f t="shared" si="42"/>
        <v>0.215</v>
      </c>
      <c r="AG55" s="262">
        <f t="shared" si="42"/>
        <v>0.22</v>
      </c>
      <c r="AH55" s="262">
        <f t="shared" ref="AH55:AL55" si="43">AH49</f>
        <v>0</v>
      </c>
      <c r="AI55" s="262">
        <f t="shared" si="43"/>
        <v>0</v>
      </c>
      <c r="AJ55" s="262">
        <f t="shared" si="43"/>
        <v>0</v>
      </c>
      <c r="AK55" s="262">
        <f t="shared" si="43"/>
        <v>0</v>
      </c>
      <c r="AL55" s="262">
        <f t="shared" si="43"/>
        <v>0</v>
      </c>
      <c r="AM55" s="262"/>
      <c r="AN55" s="262"/>
      <c r="AO55" s="262"/>
      <c r="AP55" s="262"/>
      <c r="AQ55" s="262"/>
      <c r="AR55" s="262"/>
      <c r="AS55" s="91"/>
      <c r="AT55" s="91"/>
      <c r="AU55" s="91"/>
      <c r="AV55" s="91"/>
      <c r="AW55" s="91"/>
      <c r="AX55" s="91"/>
      <c r="AY55" s="91"/>
      <c r="AZ55" s="91"/>
      <c r="BA55" s="91"/>
      <c r="BB55" s="91"/>
    </row>
    <row r="56" spans="1:54" x14ac:dyDescent="0.25">
      <c r="A56" s="252" t="s">
        <v>180</v>
      </c>
      <c r="B56" s="38"/>
      <c r="C56" s="136"/>
      <c r="D56" s="261">
        <v>6</v>
      </c>
      <c r="E56" s="262">
        <f t="shared" ref="E56:F56" si="44">E50</f>
        <v>0</v>
      </c>
      <c r="F56" s="262">
        <f t="shared" si="44"/>
        <v>0</v>
      </c>
      <c r="G56" s="262">
        <f t="shared" ref="G56:AG56" si="45">G50</f>
        <v>0</v>
      </c>
      <c r="H56" s="262">
        <f t="shared" si="45"/>
        <v>0</v>
      </c>
      <c r="I56" s="262">
        <f t="shared" si="45"/>
        <v>0</v>
      </c>
      <c r="J56" s="262">
        <f t="shared" si="45"/>
        <v>0</v>
      </c>
      <c r="K56" s="262">
        <f t="shared" si="45"/>
        <v>0</v>
      </c>
      <c r="L56" s="262">
        <f t="shared" si="45"/>
        <v>0</v>
      </c>
      <c r="M56" s="262">
        <f t="shared" si="45"/>
        <v>0</v>
      </c>
      <c r="N56" s="262">
        <f t="shared" si="45"/>
        <v>0</v>
      </c>
      <c r="O56" s="262">
        <f t="shared" si="45"/>
        <v>0</v>
      </c>
      <c r="P56" s="262">
        <f t="shared" si="45"/>
        <v>0</v>
      </c>
      <c r="Q56" s="262">
        <f t="shared" si="45"/>
        <v>0</v>
      </c>
      <c r="R56" s="262">
        <f t="shared" si="45"/>
        <v>0</v>
      </c>
      <c r="S56" s="262">
        <f t="shared" si="45"/>
        <v>0</v>
      </c>
      <c r="T56" s="262">
        <f t="shared" si="45"/>
        <v>0</v>
      </c>
      <c r="U56" s="262">
        <f t="shared" si="45"/>
        <v>0</v>
      </c>
      <c r="V56" s="262">
        <f t="shared" si="45"/>
        <v>0</v>
      </c>
      <c r="W56" s="262">
        <f t="shared" si="45"/>
        <v>0</v>
      </c>
      <c r="X56" s="262">
        <f t="shared" si="45"/>
        <v>0</v>
      </c>
      <c r="Y56" s="262">
        <f t="shared" si="45"/>
        <v>0</v>
      </c>
      <c r="Z56" s="262">
        <f t="shared" si="45"/>
        <v>0</v>
      </c>
      <c r="AA56" s="262">
        <f t="shared" si="45"/>
        <v>0</v>
      </c>
      <c r="AB56" s="262">
        <f t="shared" si="45"/>
        <v>0</v>
      </c>
      <c r="AC56" s="262">
        <f t="shared" si="45"/>
        <v>0</v>
      </c>
      <c r="AD56" s="262">
        <f t="shared" si="45"/>
        <v>0</v>
      </c>
      <c r="AE56" s="262">
        <f t="shared" si="45"/>
        <v>0</v>
      </c>
      <c r="AF56" s="262">
        <f t="shared" si="45"/>
        <v>0</v>
      </c>
      <c r="AG56" s="262">
        <f t="shared" si="45"/>
        <v>0</v>
      </c>
      <c r="AH56" s="262">
        <f t="shared" ref="AH56:AL56" si="46">AH50</f>
        <v>0</v>
      </c>
      <c r="AI56" s="262">
        <f t="shared" si="46"/>
        <v>0</v>
      </c>
      <c r="AJ56" s="262">
        <f t="shared" si="46"/>
        <v>0</v>
      </c>
      <c r="AK56" s="262">
        <f t="shared" si="46"/>
        <v>0</v>
      </c>
      <c r="AL56" s="262">
        <f t="shared" si="46"/>
        <v>0</v>
      </c>
      <c r="AM56" s="262"/>
      <c r="AN56" s="262"/>
      <c r="AO56" s="262"/>
      <c r="AP56" s="262"/>
      <c r="AQ56" s="262"/>
      <c r="AR56" s="262"/>
      <c r="AS56" s="91"/>
      <c r="AT56" s="91"/>
      <c r="AU56" s="91"/>
      <c r="AV56" s="91"/>
      <c r="AW56" s="91"/>
      <c r="AX56" s="91"/>
      <c r="AY56" s="91"/>
      <c r="AZ56" s="91"/>
      <c r="BA56" s="91"/>
      <c r="BB56" s="91"/>
    </row>
    <row r="57" spans="1:54" x14ac:dyDescent="0.25">
      <c r="A57" s="252" t="s">
        <v>181</v>
      </c>
      <c r="B57" s="38"/>
      <c r="C57" s="264" t="s">
        <v>117</v>
      </c>
      <c r="D57" s="261">
        <v>12</v>
      </c>
      <c r="E57" s="262">
        <f t="shared" ref="E57:F57" si="47">E51</f>
        <v>0</v>
      </c>
      <c r="F57" s="262">
        <f t="shared" si="47"/>
        <v>0</v>
      </c>
      <c r="G57" s="262">
        <f t="shared" ref="G57:AG57" si="48">G51</f>
        <v>0</v>
      </c>
      <c r="H57" s="262">
        <f t="shared" si="48"/>
        <v>0</v>
      </c>
      <c r="I57" s="262">
        <f t="shared" si="48"/>
        <v>0</v>
      </c>
      <c r="J57" s="262">
        <f t="shared" si="48"/>
        <v>0</v>
      </c>
      <c r="K57" s="262">
        <f t="shared" si="48"/>
        <v>0</v>
      </c>
      <c r="L57" s="262">
        <f t="shared" si="48"/>
        <v>0</v>
      </c>
      <c r="M57" s="262">
        <f t="shared" si="48"/>
        <v>0</v>
      </c>
      <c r="N57" s="262">
        <f t="shared" si="48"/>
        <v>0</v>
      </c>
      <c r="O57" s="262">
        <f t="shared" si="48"/>
        <v>0</v>
      </c>
      <c r="P57" s="262">
        <f t="shared" si="48"/>
        <v>0</v>
      </c>
      <c r="Q57" s="262">
        <f t="shared" si="48"/>
        <v>0</v>
      </c>
      <c r="R57" s="262">
        <f t="shared" si="48"/>
        <v>0</v>
      </c>
      <c r="S57" s="262">
        <f t="shared" si="48"/>
        <v>0</v>
      </c>
      <c r="T57" s="262">
        <f t="shared" si="48"/>
        <v>0</v>
      </c>
      <c r="U57" s="262">
        <f t="shared" si="48"/>
        <v>0</v>
      </c>
      <c r="V57" s="262">
        <f t="shared" si="48"/>
        <v>0</v>
      </c>
      <c r="W57" s="262">
        <f t="shared" si="48"/>
        <v>0</v>
      </c>
      <c r="X57" s="262">
        <f t="shared" si="48"/>
        <v>0</v>
      </c>
      <c r="Y57" s="262">
        <f t="shared" si="48"/>
        <v>0</v>
      </c>
      <c r="Z57" s="262">
        <f t="shared" si="48"/>
        <v>0</v>
      </c>
      <c r="AA57" s="262">
        <f t="shared" si="48"/>
        <v>0</v>
      </c>
      <c r="AB57" s="262">
        <f t="shared" si="48"/>
        <v>0</v>
      </c>
      <c r="AC57" s="262">
        <f t="shared" si="48"/>
        <v>0</v>
      </c>
      <c r="AD57" s="262">
        <f t="shared" si="48"/>
        <v>0</v>
      </c>
      <c r="AE57" s="262">
        <f t="shared" si="48"/>
        <v>0</v>
      </c>
      <c r="AF57" s="262">
        <f t="shared" si="48"/>
        <v>0</v>
      </c>
      <c r="AG57" s="262">
        <f t="shared" si="48"/>
        <v>0</v>
      </c>
      <c r="AH57" s="262">
        <f t="shared" ref="AH57:AL57" si="49">AH51</f>
        <v>0</v>
      </c>
      <c r="AI57" s="262">
        <f t="shared" si="49"/>
        <v>0</v>
      </c>
      <c r="AJ57" s="262">
        <f t="shared" si="49"/>
        <v>0</v>
      </c>
      <c r="AK57" s="262">
        <f t="shared" si="49"/>
        <v>0</v>
      </c>
      <c r="AL57" s="262">
        <f t="shared" si="49"/>
        <v>0</v>
      </c>
      <c r="AM57" s="262"/>
      <c r="AN57" s="262"/>
      <c r="AO57" s="262"/>
      <c r="AP57" s="262"/>
      <c r="AQ57" s="262"/>
      <c r="AR57" s="262"/>
      <c r="AS57" s="91"/>
      <c r="AT57" s="91"/>
      <c r="AU57" s="91"/>
      <c r="AV57" s="91"/>
      <c r="AW57" s="91"/>
      <c r="AX57" s="91"/>
      <c r="AY57" s="91"/>
      <c r="AZ57" s="91"/>
      <c r="BA57" s="91"/>
      <c r="BB57" s="91"/>
    </row>
    <row r="58" spans="1:54" s="70" customFormat="1" x14ac:dyDescent="0.25">
      <c r="A58" s="252" t="s">
        <v>182</v>
      </c>
      <c r="B58" s="38"/>
      <c r="C58" s="136"/>
      <c r="D58" s="261">
        <v>18</v>
      </c>
      <c r="E58" s="262">
        <f t="shared" ref="E58:F58" si="50">E52</f>
        <v>0</v>
      </c>
      <c r="F58" s="262">
        <f t="shared" si="50"/>
        <v>0</v>
      </c>
      <c r="G58" s="262">
        <f t="shared" ref="G58:AG58" si="51">G52</f>
        <v>0</v>
      </c>
      <c r="H58" s="262">
        <f t="shared" si="51"/>
        <v>0</v>
      </c>
      <c r="I58" s="262">
        <f t="shared" si="51"/>
        <v>0</v>
      </c>
      <c r="J58" s="262">
        <f t="shared" si="51"/>
        <v>0</v>
      </c>
      <c r="K58" s="262">
        <f t="shared" si="51"/>
        <v>0</v>
      </c>
      <c r="L58" s="262">
        <f t="shared" si="51"/>
        <v>0</v>
      </c>
      <c r="M58" s="262">
        <f t="shared" si="51"/>
        <v>0</v>
      </c>
      <c r="N58" s="262">
        <f t="shared" si="51"/>
        <v>0</v>
      </c>
      <c r="O58" s="262">
        <f t="shared" si="51"/>
        <v>0</v>
      </c>
      <c r="P58" s="262">
        <f t="shared" si="51"/>
        <v>0</v>
      </c>
      <c r="Q58" s="262">
        <f t="shared" si="51"/>
        <v>0</v>
      </c>
      <c r="R58" s="262">
        <f t="shared" si="51"/>
        <v>0</v>
      </c>
      <c r="S58" s="262">
        <f t="shared" si="51"/>
        <v>0</v>
      </c>
      <c r="T58" s="262">
        <f t="shared" si="51"/>
        <v>0</v>
      </c>
      <c r="U58" s="262">
        <f t="shared" si="51"/>
        <v>0</v>
      </c>
      <c r="V58" s="262">
        <f t="shared" si="51"/>
        <v>0</v>
      </c>
      <c r="W58" s="262">
        <f t="shared" si="51"/>
        <v>0</v>
      </c>
      <c r="X58" s="262">
        <f t="shared" si="51"/>
        <v>0</v>
      </c>
      <c r="Y58" s="262">
        <f t="shared" si="51"/>
        <v>0</v>
      </c>
      <c r="Z58" s="262">
        <f t="shared" si="51"/>
        <v>0</v>
      </c>
      <c r="AA58" s="262">
        <f t="shared" si="51"/>
        <v>0</v>
      </c>
      <c r="AB58" s="262">
        <f t="shared" si="51"/>
        <v>0</v>
      </c>
      <c r="AC58" s="262">
        <f t="shared" si="51"/>
        <v>0</v>
      </c>
      <c r="AD58" s="262">
        <f t="shared" si="51"/>
        <v>0</v>
      </c>
      <c r="AE58" s="262">
        <f t="shared" si="51"/>
        <v>0</v>
      </c>
      <c r="AF58" s="262">
        <f t="shared" si="51"/>
        <v>0</v>
      </c>
      <c r="AG58" s="262">
        <f t="shared" si="51"/>
        <v>0</v>
      </c>
      <c r="AH58" s="262">
        <f t="shared" ref="AH58:AL58" si="52">AH52</f>
        <v>0</v>
      </c>
      <c r="AI58" s="262">
        <f t="shared" si="52"/>
        <v>0</v>
      </c>
      <c r="AJ58" s="262">
        <f t="shared" si="52"/>
        <v>0</v>
      </c>
      <c r="AK58" s="262">
        <f t="shared" si="52"/>
        <v>0</v>
      </c>
      <c r="AL58" s="262">
        <f t="shared" si="52"/>
        <v>0</v>
      </c>
      <c r="AM58" s="262"/>
      <c r="AN58" s="262"/>
      <c r="AO58" s="262"/>
      <c r="AP58" s="262"/>
      <c r="AQ58" s="262"/>
      <c r="AR58" s="262"/>
      <c r="AS58" s="91"/>
      <c r="AT58" s="91"/>
      <c r="AU58" s="91"/>
      <c r="AV58" s="91"/>
      <c r="AW58" s="91"/>
      <c r="AX58" s="91"/>
      <c r="AY58" s="91"/>
      <c r="AZ58" s="91"/>
      <c r="BA58" s="91"/>
      <c r="BB58" s="91"/>
    </row>
    <row r="59" spans="1:54" s="70" customFormat="1" x14ac:dyDescent="0.25">
      <c r="A59" s="252" t="s">
        <v>183</v>
      </c>
      <c r="B59" s="38"/>
      <c r="C59" s="137"/>
      <c r="D59" s="261">
        <v>24</v>
      </c>
      <c r="E59" s="262">
        <f t="shared" ref="E59:F59" si="53">E53</f>
        <v>0</v>
      </c>
      <c r="F59" s="262">
        <f t="shared" si="53"/>
        <v>0</v>
      </c>
      <c r="G59" s="262">
        <f t="shared" ref="G59:AG59" si="54">G53</f>
        <v>0</v>
      </c>
      <c r="H59" s="262">
        <f t="shared" si="54"/>
        <v>0</v>
      </c>
      <c r="I59" s="262">
        <f t="shared" si="54"/>
        <v>0</v>
      </c>
      <c r="J59" s="262">
        <f t="shared" si="54"/>
        <v>0</v>
      </c>
      <c r="K59" s="262">
        <f t="shared" si="54"/>
        <v>0</v>
      </c>
      <c r="L59" s="262">
        <f t="shared" si="54"/>
        <v>0</v>
      </c>
      <c r="M59" s="262">
        <f t="shared" si="54"/>
        <v>0</v>
      </c>
      <c r="N59" s="262">
        <f t="shared" si="54"/>
        <v>0</v>
      </c>
      <c r="O59" s="262">
        <f t="shared" si="54"/>
        <v>0</v>
      </c>
      <c r="P59" s="262">
        <f t="shared" si="54"/>
        <v>0</v>
      </c>
      <c r="Q59" s="262">
        <f t="shared" si="54"/>
        <v>0</v>
      </c>
      <c r="R59" s="262">
        <f t="shared" si="54"/>
        <v>0</v>
      </c>
      <c r="S59" s="262">
        <f t="shared" si="54"/>
        <v>0</v>
      </c>
      <c r="T59" s="262">
        <f t="shared" si="54"/>
        <v>0</v>
      </c>
      <c r="U59" s="262">
        <f t="shared" si="54"/>
        <v>0</v>
      </c>
      <c r="V59" s="262">
        <f t="shared" si="54"/>
        <v>0</v>
      </c>
      <c r="W59" s="262">
        <f t="shared" si="54"/>
        <v>0</v>
      </c>
      <c r="X59" s="262">
        <f t="shared" si="54"/>
        <v>0</v>
      </c>
      <c r="Y59" s="262">
        <f t="shared" si="54"/>
        <v>0</v>
      </c>
      <c r="Z59" s="262">
        <f t="shared" si="54"/>
        <v>0</v>
      </c>
      <c r="AA59" s="262">
        <f t="shared" si="54"/>
        <v>0</v>
      </c>
      <c r="AB59" s="262">
        <f t="shared" si="54"/>
        <v>0</v>
      </c>
      <c r="AC59" s="262">
        <f t="shared" si="54"/>
        <v>0</v>
      </c>
      <c r="AD59" s="262">
        <f t="shared" si="54"/>
        <v>0</v>
      </c>
      <c r="AE59" s="262">
        <f t="shared" si="54"/>
        <v>0</v>
      </c>
      <c r="AF59" s="262">
        <f t="shared" si="54"/>
        <v>0</v>
      </c>
      <c r="AG59" s="262">
        <f t="shared" si="54"/>
        <v>0</v>
      </c>
      <c r="AH59" s="262">
        <f t="shared" ref="AH59:AL59" si="55">AH53</f>
        <v>0</v>
      </c>
      <c r="AI59" s="262">
        <f t="shared" si="55"/>
        <v>0</v>
      </c>
      <c r="AJ59" s="262">
        <f t="shared" si="55"/>
        <v>0</v>
      </c>
      <c r="AK59" s="262">
        <f t="shared" si="55"/>
        <v>0</v>
      </c>
      <c r="AL59" s="262">
        <f t="shared" si="55"/>
        <v>0</v>
      </c>
      <c r="AM59" s="262"/>
      <c r="AN59" s="262"/>
      <c r="AO59" s="262"/>
      <c r="AP59" s="262"/>
      <c r="AQ59" s="262"/>
      <c r="AR59" s="262"/>
      <c r="AS59" s="91"/>
      <c r="AT59" s="91"/>
      <c r="AU59" s="91"/>
      <c r="AV59" s="91"/>
      <c r="AW59" s="91"/>
      <c r="AX59" s="91"/>
      <c r="AY59" s="91"/>
      <c r="AZ59" s="91"/>
      <c r="BA59" s="91"/>
      <c r="BB59" s="91"/>
    </row>
    <row r="60" spans="1:54" s="70" customFormat="1" x14ac:dyDescent="0.25">
      <c r="C60" s="257"/>
      <c r="F60" s="71"/>
      <c r="G60" s="71"/>
      <c r="H60" s="71"/>
      <c r="I60" s="71"/>
      <c r="J60" s="71"/>
      <c r="K60" s="71"/>
      <c r="L60" s="71"/>
    </row>
    <row r="61" spans="1:54" s="70" customFormat="1" x14ac:dyDescent="0.25">
      <c r="C61" s="257"/>
    </row>
    <row r="62" spans="1:54" s="70" customFormat="1" x14ac:dyDescent="0.25">
      <c r="C62" s="257"/>
    </row>
    <row r="63" spans="1:54" s="70" customFormat="1" x14ac:dyDescent="0.25">
      <c r="C63" s="257"/>
    </row>
    <row r="64" spans="1:54" s="70" customFormat="1" x14ac:dyDescent="0.25">
      <c r="C64" s="257"/>
      <c r="F64" s="71"/>
      <c r="G64" s="71"/>
      <c r="H64" s="71"/>
      <c r="I64" s="71"/>
      <c r="J64" s="71"/>
      <c r="K64" s="71"/>
      <c r="L64" s="71"/>
    </row>
    <row r="65" spans="1:40" s="70" customFormat="1" x14ac:dyDescent="0.25">
      <c r="C65" s="257"/>
    </row>
    <row r="66" spans="1:40" s="70" customFormat="1" x14ac:dyDescent="0.25">
      <c r="C66" s="257"/>
    </row>
    <row r="67" spans="1:40" s="70" customFormat="1" ht="15.75" collapsed="1" x14ac:dyDescent="0.25">
      <c r="C67" s="257"/>
      <c r="D67" s="41"/>
      <c r="E67" s="134" t="s">
        <v>123</v>
      </c>
    </row>
    <row r="68" spans="1:40" s="70" customFormat="1" hidden="1" outlineLevel="1" x14ac:dyDescent="0.25">
      <c r="A68" s="131"/>
      <c r="C68" s="257"/>
      <c r="D68" s="72">
        <v>1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Y68" s="31">
        <v>0.25</v>
      </c>
      <c r="Z68" s="31">
        <v>0.5</v>
      </c>
      <c r="AA68" s="31">
        <v>0.75</v>
      </c>
      <c r="AB68" s="31">
        <v>1</v>
      </c>
      <c r="AC68" s="31">
        <v>1.25</v>
      </c>
      <c r="AD68" s="31">
        <v>1.5</v>
      </c>
      <c r="AE68" s="31">
        <v>1.7500000000000002</v>
      </c>
      <c r="AF68" s="31">
        <v>2</v>
      </c>
      <c r="AG68" s="31">
        <v>2.25</v>
      </c>
      <c r="AH68" s="31">
        <v>2.5</v>
      </c>
      <c r="AI68" s="31">
        <v>2.75</v>
      </c>
      <c r="AJ68" s="31">
        <v>3</v>
      </c>
      <c r="AK68" s="31">
        <v>3.25</v>
      </c>
      <c r="AL68" s="31">
        <v>3.5000000000000004</v>
      </c>
      <c r="AM68" s="31">
        <v>3.75</v>
      </c>
      <c r="AN68" s="31">
        <v>4</v>
      </c>
    </row>
    <row r="69" spans="1:40" s="70" customFormat="1" hidden="1" outlineLevel="1" x14ac:dyDescent="0.25">
      <c r="A69" s="131" t="s">
        <v>3</v>
      </c>
      <c r="B69" s="70" t="s">
        <v>6</v>
      </c>
      <c r="C69" s="257" t="str">
        <f>CONCATENATE(A69,B69,D69)</f>
        <v>без отсрочкиНовостройка с господдержкой 20206</v>
      </c>
      <c r="D69" s="73">
        <v>6</v>
      </c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29"/>
    </row>
    <row r="70" spans="1:40" s="70" customFormat="1" hidden="1" outlineLevel="1" x14ac:dyDescent="0.25">
      <c r="A70" s="131" t="s">
        <v>3</v>
      </c>
      <c r="B70" s="70" t="s">
        <v>6</v>
      </c>
      <c r="C70" s="257" t="str">
        <f t="shared" ref="C70:C137" si="56">CONCATENATE(A70,B70,D70)</f>
        <v>без отсрочкиНовостройка с господдержкой 202012</v>
      </c>
      <c r="D70" s="73">
        <v>12</v>
      </c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29"/>
    </row>
    <row r="71" spans="1:40" s="70" customFormat="1" hidden="1" outlineLevel="1" x14ac:dyDescent="0.25">
      <c r="A71" s="131" t="s">
        <v>3</v>
      </c>
      <c r="B71" s="70" t="s">
        <v>6</v>
      </c>
      <c r="C71" s="257" t="str">
        <f t="shared" si="56"/>
        <v>без отсрочкиНовостройка с господдержкой 202024</v>
      </c>
      <c r="D71" s="73">
        <v>24</v>
      </c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29"/>
    </row>
    <row r="72" spans="1:40" s="70" customFormat="1" hidden="1" outlineLevel="1" x14ac:dyDescent="0.25">
      <c r="A72" s="131" t="s">
        <v>3</v>
      </c>
      <c r="B72" s="70" t="s">
        <v>6</v>
      </c>
      <c r="C72" s="257" t="str">
        <f t="shared" si="56"/>
        <v>без отсрочкиНовостройка с господдержкой 202036</v>
      </c>
      <c r="D72" s="73">
        <v>36</v>
      </c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29"/>
    </row>
    <row r="73" spans="1:40" s="70" customFormat="1" hidden="1" outlineLevel="1" x14ac:dyDescent="0.25">
      <c r="A73" s="131" t="s">
        <v>3</v>
      </c>
      <c r="B73" s="70" t="s">
        <v>6</v>
      </c>
      <c r="C73" s="257" t="str">
        <f t="shared" si="56"/>
        <v>без отсрочкиНовостройка с господдержкой 202048</v>
      </c>
      <c r="D73" s="73">
        <v>48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29"/>
      <c r="T73" s="29"/>
      <c r="U73" s="29"/>
      <c r="V73" s="29"/>
      <c r="W73" s="29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29"/>
    </row>
    <row r="74" spans="1:40" s="70" customFormat="1" hidden="1" outlineLevel="1" x14ac:dyDescent="0.25">
      <c r="A74" s="131" t="s">
        <v>3</v>
      </c>
      <c r="B74" s="70" t="s">
        <v>6</v>
      </c>
      <c r="C74" s="257" t="str">
        <f t="shared" si="56"/>
        <v>без отсрочкиНовостройка с господдержкой 202060</v>
      </c>
      <c r="D74" s="73">
        <v>60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29"/>
      <c r="T74" s="29"/>
      <c r="U74" s="29"/>
      <c r="V74" s="29"/>
      <c r="W74" s="29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29"/>
    </row>
    <row r="75" spans="1:40" s="70" customFormat="1" hidden="1" outlineLevel="1" x14ac:dyDescent="0.25">
      <c r="A75" s="131" t="s">
        <v>3</v>
      </c>
      <c r="B75" s="70" t="s">
        <v>10</v>
      </c>
      <c r="C75" s="257" t="str">
        <f t="shared" si="56"/>
        <v>без отсрочкиСемейная ипотека6</v>
      </c>
      <c r="D75" s="73">
        <v>6</v>
      </c>
      <c r="E75" s="127"/>
      <c r="F75" s="127"/>
      <c r="G75" s="127"/>
      <c r="H75" s="127"/>
      <c r="I75" s="127"/>
      <c r="J75" s="127"/>
      <c r="K75" s="127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Y75" s="78"/>
      <c r="Z75" s="78"/>
      <c r="AA75" s="78"/>
      <c r="AB75" s="78"/>
      <c r="AC75" s="78"/>
      <c r="AD75" s="78"/>
      <c r="AE75" s="78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0" s="70" customFormat="1" hidden="1" outlineLevel="1" x14ac:dyDescent="0.25">
      <c r="A76" s="131" t="s">
        <v>3</v>
      </c>
      <c r="B76" s="70" t="s">
        <v>10</v>
      </c>
      <c r="C76" s="257" t="str">
        <f t="shared" si="56"/>
        <v>без отсрочкиСемейная ипотека12</v>
      </c>
      <c r="D76" s="73">
        <v>12</v>
      </c>
      <c r="E76" s="127"/>
      <c r="F76" s="127"/>
      <c r="G76" s="127"/>
      <c r="H76" s="127"/>
      <c r="I76" s="127"/>
      <c r="J76" s="127"/>
      <c r="K76" s="127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Y76" s="78"/>
      <c r="Z76" s="78"/>
      <c r="AA76" s="78"/>
      <c r="AB76" s="78"/>
      <c r="AC76" s="78"/>
      <c r="AD76" s="78"/>
      <c r="AE76" s="78"/>
      <c r="AF76" s="29"/>
      <c r="AG76" s="29"/>
      <c r="AH76" s="29"/>
      <c r="AI76" s="29"/>
      <c r="AJ76" s="29"/>
      <c r="AK76" s="29"/>
      <c r="AL76" s="29"/>
      <c r="AM76" s="29"/>
      <c r="AN76" s="29"/>
    </row>
    <row r="77" spans="1:40" s="70" customFormat="1" hidden="1" outlineLevel="1" x14ac:dyDescent="0.25">
      <c r="A77" s="131" t="s">
        <v>3</v>
      </c>
      <c r="B77" s="70" t="s">
        <v>10</v>
      </c>
      <c r="C77" s="257" t="str">
        <f t="shared" si="56"/>
        <v>без отсрочкиСемейная ипотека24</v>
      </c>
      <c r="D77" s="73">
        <v>24</v>
      </c>
      <c r="E77" s="127"/>
      <c r="F77" s="127"/>
      <c r="G77" s="127"/>
      <c r="H77" s="127"/>
      <c r="I77" s="127"/>
      <c r="J77" s="127"/>
      <c r="K77" s="127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Y77" s="78"/>
      <c r="Z77" s="78"/>
      <c r="AA77" s="78"/>
      <c r="AB77" s="78"/>
      <c r="AC77" s="78"/>
      <c r="AD77" s="78"/>
      <c r="AE77" s="78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0" s="70" customFormat="1" hidden="1" outlineLevel="1" x14ac:dyDescent="0.25">
      <c r="A78" s="131" t="s">
        <v>3</v>
      </c>
      <c r="B78" s="70" t="s">
        <v>10</v>
      </c>
      <c r="C78" s="257" t="str">
        <f t="shared" si="56"/>
        <v>без отсрочкиСемейная ипотека36</v>
      </c>
      <c r="D78" s="73">
        <v>36</v>
      </c>
      <c r="E78" s="127"/>
      <c r="F78" s="127"/>
      <c r="G78" s="127"/>
      <c r="H78" s="127"/>
      <c r="I78" s="127"/>
      <c r="J78" s="127"/>
      <c r="K78" s="127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Y78" s="78"/>
      <c r="Z78" s="78"/>
      <c r="AA78" s="78"/>
      <c r="AB78" s="78"/>
      <c r="AC78" s="78"/>
      <c r="AD78" s="78"/>
      <c r="AE78" s="78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0" s="70" customFormat="1" hidden="1" outlineLevel="1" x14ac:dyDescent="0.25">
      <c r="A79" s="131" t="s">
        <v>3</v>
      </c>
      <c r="B79" s="70" t="s">
        <v>10</v>
      </c>
      <c r="C79" s="257" t="str">
        <f t="shared" si="56"/>
        <v>без отсрочкиСемейная ипотека48</v>
      </c>
      <c r="D79" s="73">
        <v>48</v>
      </c>
      <c r="E79" s="127"/>
      <c r="F79" s="127"/>
      <c r="G79" s="127"/>
      <c r="H79" s="127"/>
      <c r="I79" s="127"/>
      <c r="J79" s="127"/>
      <c r="K79" s="127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Y79" s="78"/>
      <c r="Z79" s="78"/>
      <c r="AA79" s="78"/>
      <c r="AB79" s="78"/>
      <c r="AC79" s="78"/>
      <c r="AD79" s="78"/>
      <c r="AE79" s="78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0" s="70" customFormat="1" hidden="1" outlineLevel="1" x14ac:dyDescent="0.25">
      <c r="A80" s="131" t="s">
        <v>3</v>
      </c>
      <c r="B80" s="70" t="s">
        <v>10</v>
      </c>
      <c r="C80" s="257" t="str">
        <f t="shared" si="56"/>
        <v>без отсрочкиСемейная ипотека60</v>
      </c>
      <c r="D80" s="73">
        <v>60</v>
      </c>
      <c r="E80" s="127"/>
      <c r="F80" s="127"/>
      <c r="G80" s="127"/>
      <c r="H80" s="127"/>
      <c r="I80" s="127"/>
      <c r="J80" s="127"/>
      <c r="K80" s="127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Y80" s="78"/>
      <c r="Z80" s="78"/>
      <c r="AA80" s="78"/>
      <c r="AB80" s="78"/>
      <c r="AC80" s="78"/>
      <c r="AD80" s="78"/>
      <c r="AE80" s="78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0" s="70" customFormat="1" hidden="1" outlineLevel="1" x14ac:dyDescent="0.25">
      <c r="A81" s="131" t="s">
        <v>3</v>
      </c>
      <c r="B81" s="70" t="s">
        <v>62</v>
      </c>
      <c r="C81" s="257" t="str">
        <f t="shared" si="56"/>
        <v>без отсрочкиСемейная ипотека ДФО6</v>
      </c>
      <c r="D81" s="73">
        <v>6</v>
      </c>
      <c r="E81" s="127"/>
      <c r="F81" s="127"/>
      <c r="G81" s="127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Y81" s="78"/>
      <c r="Z81" s="78"/>
      <c r="AA81" s="78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0" s="70" customFormat="1" hidden="1" outlineLevel="1" x14ac:dyDescent="0.25">
      <c r="A82" s="131" t="s">
        <v>3</v>
      </c>
      <c r="B82" s="70" t="s">
        <v>62</v>
      </c>
      <c r="C82" s="257" t="str">
        <f t="shared" si="56"/>
        <v>без отсрочкиСемейная ипотека ДФО12</v>
      </c>
      <c r="D82" s="73">
        <v>12</v>
      </c>
      <c r="E82" s="127"/>
      <c r="F82" s="127"/>
      <c r="G82" s="127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Y82" s="78"/>
      <c r="Z82" s="78"/>
      <c r="AA82" s="78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0" s="70" customFormat="1" hidden="1" outlineLevel="1" x14ac:dyDescent="0.25">
      <c r="A83" s="131" t="s">
        <v>3</v>
      </c>
      <c r="B83" s="70" t="s">
        <v>62</v>
      </c>
      <c r="C83" s="257" t="str">
        <f t="shared" si="56"/>
        <v>без отсрочкиСемейная ипотека ДФО24</v>
      </c>
      <c r="D83" s="73">
        <v>24</v>
      </c>
      <c r="E83" s="127"/>
      <c r="F83" s="127"/>
      <c r="G83" s="127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Y83" s="78"/>
      <c r="Z83" s="78"/>
      <c r="AA83" s="78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0" s="70" customFormat="1" hidden="1" outlineLevel="1" x14ac:dyDescent="0.25">
      <c r="A84" s="131" t="s">
        <v>3</v>
      </c>
      <c r="B84" s="70" t="s">
        <v>62</v>
      </c>
      <c r="C84" s="257" t="str">
        <f t="shared" si="56"/>
        <v>без отсрочкиСемейная ипотека ДФО36</v>
      </c>
      <c r="D84" s="73">
        <v>36</v>
      </c>
      <c r="E84" s="127"/>
      <c r="F84" s="127"/>
      <c r="G84" s="127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Y84" s="78"/>
      <c r="Z84" s="78"/>
      <c r="AA84" s="78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0" s="70" customFormat="1" hidden="1" outlineLevel="1" x14ac:dyDescent="0.25">
      <c r="A85" s="131" t="s">
        <v>3</v>
      </c>
      <c r="B85" s="70" t="s">
        <v>62</v>
      </c>
      <c r="C85" s="257" t="str">
        <f t="shared" si="56"/>
        <v>без отсрочкиСемейная ипотека ДФО48</v>
      </c>
      <c r="D85" s="73">
        <v>48</v>
      </c>
      <c r="E85" s="127"/>
      <c r="F85" s="127"/>
      <c r="G85" s="127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Y85" s="78"/>
      <c r="Z85" s="78"/>
      <c r="AA85" s="78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</row>
    <row r="86" spans="1:40" s="70" customFormat="1" hidden="1" outlineLevel="1" x14ac:dyDescent="0.25">
      <c r="A86" s="131" t="s">
        <v>3</v>
      </c>
      <c r="B86" s="70" t="s">
        <v>62</v>
      </c>
      <c r="C86" s="257" t="str">
        <f t="shared" si="56"/>
        <v>без отсрочкиСемейная ипотека ДФО60</v>
      </c>
      <c r="D86" s="73">
        <v>60</v>
      </c>
      <c r="E86" s="127"/>
      <c r="F86" s="127"/>
      <c r="G86" s="127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Y86" s="78"/>
      <c r="Z86" s="78"/>
      <c r="AA86" s="78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0" s="70" customFormat="1" hidden="1" outlineLevel="1" x14ac:dyDescent="0.25">
      <c r="A87" s="131" t="s">
        <v>3</v>
      </c>
      <c r="B87" s="70" t="s">
        <v>61</v>
      </c>
      <c r="C87" s="257" t="str">
        <f t="shared" si="56"/>
        <v>без отсрочкиДальневосточная ипотека6</v>
      </c>
      <c r="D87" s="73">
        <v>6</v>
      </c>
      <c r="E87" s="127"/>
      <c r="F87" s="127"/>
      <c r="G87" s="127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Y87" s="78"/>
      <c r="Z87" s="78"/>
      <c r="AA87" s="78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0" s="70" customFormat="1" hidden="1" outlineLevel="1" x14ac:dyDescent="0.25">
      <c r="A88" s="131" t="s">
        <v>3</v>
      </c>
      <c r="B88" s="70" t="s">
        <v>61</v>
      </c>
      <c r="C88" s="257" t="str">
        <f t="shared" si="56"/>
        <v>без отсрочкиДальневосточная ипотека12</v>
      </c>
      <c r="D88" s="73">
        <v>12</v>
      </c>
      <c r="E88" s="127"/>
      <c r="F88" s="127"/>
      <c r="G88" s="127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Y88" s="78"/>
      <c r="Z88" s="78"/>
      <c r="AA88" s="78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0" s="70" customFormat="1" hidden="1" outlineLevel="1" x14ac:dyDescent="0.25">
      <c r="A89" s="131" t="s">
        <v>3</v>
      </c>
      <c r="B89" s="70" t="s">
        <v>61</v>
      </c>
      <c r="C89" s="257" t="str">
        <f t="shared" si="56"/>
        <v>без отсрочкиДальневосточная ипотека24</v>
      </c>
      <c r="D89" s="73">
        <v>24</v>
      </c>
      <c r="E89" s="127"/>
      <c r="F89" s="127"/>
      <c r="G89" s="127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Y89" s="78"/>
      <c r="Z89" s="78"/>
      <c r="AA89" s="78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0" s="70" customFormat="1" hidden="1" outlineLevel="1" x14ac:dyDescent="0.25">
      <c r="A90" s="131" t="s">
        <v>3</v>
      </c>
      <c r="B90" s="70" t="s">
        <v>61</v>
      </c>
      <c r="C90" s="257" t="str">
        <f t="shared" si="56"/>
        <v>без отсрочкиДальневосточная ипотека36</v>
      </c>
      <c r="D90" s="73">
        <v>36</v>
      </c>
      <c r="E90" s="127"/>
      <c r="F90" s="127"/>
      <c r="G90" s="127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Y90" s="78"/>
      <c r="Z90" s="78"/>
      <c r="AA90" s="78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0" s="70" customFormat="1" hidden="1" outlineLevel="1" x14ac:dyDescent="0.25">
      <c r="A91" s="131" t="s">
        <v>3</v>
      </c>
      <c r="B91" s="70" t="s">
        <v>61</v>
      </c>
      <c r="C91" s="257" t="str">
        <f t="shared" si="56"/>
        <v>без отсрочкиДальневосточная ипотека48</v>
      </c>
      <c r="D91" s="73">
        <v>48</v>
      </c>
      <c r="E91" s="127"/>
      <c r="F91" s="127"/>
      <c r="G91" s="127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Y91" s="78"/>
      <c r="Z91" s="78"/>
      <c r="AA91" s="78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</row>
    <row r="92" spans="1:40" s="70" customFormat="1" hidden="1" outlineLevel="1" x14ac:dyDescent="0.25">
      <c r="A92" s="131" t="s">
        <v>3</v>
      </c>
      <c r="B92" s="70" t="s">
        <v>61</v>
      </c>
      <c r="C92" s="257" t="str">
        <f t="shared" si="56"/>
        <v>без отсрочкиДальневосточная ипотека60</v>
      </c>
      <c r="D92" s="73">
        <v>60</v>
      </c>
      <c r="E92" s="127"/>
      <c r="F92" s="127"/>
      <c r="G92" s="127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Y92" s="78"/>
      <c r="Z92" s="78"/>
      <c r="AA92" s="78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</row>
    <row r="93" spans="1:40" s="70" customFormat="1" hidden="1" outlineLevel="1" x14ac:dyDescent="0.25">
      <c r="A93" s="131" t="s">
        <v>3</v>
      </c>
      <c r="B93" s="70" t="s">
        <v>38</v>
      </c>
      <c r="C93" s="257" t="str">
        <f t="shared" si="56"/>
        <v>без отсрочкиИпотека для IT-специалистов6</v>
      </c>
      <c r="D93" s="73">
        <v>6</v>
      </c>
      <c r="E93" s="127"/>
      <c r="F93" s="127"/>
      <c r="G93" s="127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Y93" s="78"/>
      <c r="Z93" s="78"/>
      <c r="AA93" s="78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</row>
    <row r="94" spans="1:40" s="70" customFormat="1" hidden="1" outlineLevel="1" x14ac:dyDescent="0.25">
      <c r="A94" s="131" t="s">
        <v>3</v>
      </c>
      <c r="B94" s="70" t="s">
        <v>38</v>
      </c>
      <c r="C94" s="257" t="str">
        <f t="shared" si="56"/>
        <v>без отсрочкиИпотека для IT-специалистов12</v>
      </c>
      <c r="D94" s="73">
        <v>12</v>
      </c>
      <c r="E94" s="127"/>
      <c r="F94" s="127"/>
      <c r="G94" s="127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Y94" s="78"/>
      <c r="Z94" s="78"/>
      <c r="AA94" s="78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</row>
    <row r="95" spans="1:40" s="70" customFormat="1" hidden="1" outlineLevel="1" x14ac:dyDescent="0.25">
      <c r="A95" s="131" t="s">
        <v>3</v>
      </c>
      <c r="B95" s="70" t="s">
        <v>38</v>
      </c>
      <c r="C95" s="257" t="str">
        <f t="shared" si="56"/>
        <v>без отсрочкиИпотека для IT-специалистов24</v>
      </c>
      <c r="D95" s="73">
        <v>24</v>
      </c>
      <c r="E95" s="127"/>
      <c r="F95" s="127"/>
      <c r="G95" s="127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Y95" s="78"/>
      <c r="Z95" s="78"/>
      <c r="AA95" s="78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</row>
    <row r="96" spans="1:40" s="70" customFormat="1" hidden="1" outlineLevel="1" x14ac:dyDescent="0.25">
      <c r="A96" s="131" t="s">
        <v>3</v>
      </c>
      <c r="B96" s="70" t="s">
        <v>38</v>
      </c>
      <c r="C96" s="257" t="str">
        <f t="shared" si="56"/>
        <v>без отсрочкиИпотека для IT-специалистов36</v>
      </c>
      <c r="D96" s="73">
        <v>36</v>
      </c>
      <c r="E96" s="127"/>
      <c r="F96" s="127"/>
      <c r="G96" s="127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Y96" s="78"/>
      <c r="Z96" s="78"/>
      <c r="AA96" s="78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</row>
    <row r="97" spans="1:54" s="70" customFormat="1" hidden="1" outlineLevel="1" x14ac:dyDescent="0.25">
      <c r="A97" s="131" t="s">
        <v>3</v>
      </c>
      <c r="B97" s="70" t="s">
        <v>38</v>
      </c>
      <c r="C97" s="257" t="str">
        <f t="shared" si="56"/>
        <v>без отсрочкиИпотека для IT-специалистов48</v>
      </c>
      <c r="D97" s="73">
        <v>48</v>
      </c>
      <c r="E97" s="127"/>
      <c r="F97" s="127"/>
      <c r="G97" s="127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Y97" s="78"/>
      <c r="Z97" s="78"/>
      <c r="AA97" s="78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</row>
    <row r="98" spans="1:54" s="70" customFormat="1" hidden="1" outlineLevel="1" x14ac:dyDescent="0.25">
      <c r="A98" s="131" t="s">
        <v>3</v>
      </c>
      <c r="B98" s="70" t="s">
        <v>38</v>
      </c>
      <c r="C98" s="257" t="str">
        <f t="shared" si="56"/>
        <v>без отсрочкиИпотека для IT-специалистов60</v>
      </c>
      <c r="D98" s="73">
        <v>60</v>
      </c>
      <c r="E98" s="127"/>
      <c r="F98" s="127"/>
      <c r="G98" s="127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Y98" s="78"/>
      <c r="Z98" s="78"/>
      <c r="AA98" s="78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</row>
    <row r="99" spans="1:54" s="70" customFormat="1" hidden="1" outlineLevel="1" x14ac:dyDescent="0.25">
      <c r="A99" s="131"/>
      <c r="C99" s="257"/>
      <c r="D99" s="72">
        <v>1</v>
      </c>
      <c r="E99" s="31"/>
      <c r="F99" s="31"/>
      <c r="G99" s="31"/>
      <c r="H99" s="31"/>
      <c r="I99" s="31"/>
      <c r="J99" s="31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Y99" s="74">
        <v>0.5</v>
      </c>
      <c r="Z99" s="74">
        <v>1</v>
      </c>
      <c r="AA99" s="74">
        <v>1.5</v>
      </c>
      <c r="AB99" s="74">
        <v>2</v>
      </c>
      <c r="AC99" s="74">
        <v>2.5</v>
      </c>
      <c r="AD99" s="74">
        <v>3</v>
      </c>
      <c r="AE99" s="74">
        <v>3.5</v>
      </c>
      <c r="AF99" s="74">
        <v>4</v>
      </c>
      <c r="AG99" s="74">
        <v>4.5</v>
      </c>
      <c r="AH99" s="74">
        <v>5</v>
      </c>
      <c r="AI99" s="74">
        <v>5.5</v>
      </c>
      <c r="AJ99" s="74">
        <v>6</v>
      </c>
      <c r="AK99" s="74">
        <v>6.5</v>
      </c>
      <c r="AL99" s="74">
        <v>7</v>
      </c>
      <c r="AM99" s="74">
        <v>7.5</v>
      </c>
      <c r="AN99" s="74">
        <v>8</v>
      </c>
      <c r="AO99" s="74">
        <v>8.5</v>
      </c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</row>
    <row r="100" spans="1:54" s="70" customFormat="1" hidden="1" outlineLevel="1" x14ac:dyDescent="0.25">
      <c r="A100" s="131" t="s">
        <v>3</v>
      </c>
      <c r="B100" s="70" t="s">
        <v>5</v>
      </c>
      <c r="C100" s="257" t="str">
        <f t="shared" si="56"/>
        <v>без отсрочкиНовостройка6</v>
      </c>
      <c r="D100" s="73">
        <v>6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s="70" customFormat="1" hidden="1" outlineLevel="1" x14ac:dyDescent="0.25">
      <c r="A101" s="131" t="s">
        <v>3</v>
      </c>
      <c r="B101" s="70" t="s">
        <v>5</v>
      </c>
      <c r="C101" s="257" t="str">
        <f t="shared" si="56"/>
        <v>без отсрочкиНовостройка12</v>
      </c>
      <c r="D101" s="73">
        <v>12</v>
      </c>
      <c r="E101" s="127"/>
      <c r="F101" s="127"/>
      <c r="G101" s="127"/>
      <c r="H101" s="127"/>
      <c r="I101" s="127"/>
      <c r="J101" s="127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s="70" customFormat="1" hidden="1" outlineLevel="1" x14ac:dyDescent="0.25">
      <c r="A102" s="131" t="s">
        <v>3</v>
      </c>
      <c r="B102" s="70" t="s">
        <v>5</v>
      </c>
      <c r="C102" s="257" t="str">
        <f t="shared" si="56"/>
        <v>без отсрочкиНовостройка24</v>
      </c>
      <c r="D102" s="73">
        <v>24</v>
      </c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75"/>
      <c r="Q102" s="75"/>
      <c r="R102" s="75"/>
      <c r="S102" s="75"/>
      <c r="T102" s="75"/>
      <c r="U102" s="75"/>
      <c r="V102" s="75"/>
      <c r="W102" s="75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</row>
    <row r="103" spans="1:54" s="70" customFormat="1" hidden="1" outlineLevel="1" x14ac:dyDescent="0.25">
      <c r="A103" s="131" t="s">
        <v>3</v>
      </c>
      <c r="B103" s="70" t="s">
        <v>5</v>
      </c>
      <c r="C103" s="257" t="str">
        <f t="shared" si="56"/>
        <v>без отсрочкиНовостройка36</v>
      </c>
      <c r="D103" s="73">
        <v>36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77"/>
      <c r="P103" s="75"/>
      <c r="Q103" s="75"/>
      <c r="R103" s="75"/>
      <c r="S103" s="75"/>
      <c r="T103" s="75"/>
      <c r="U103" s="75"/>
      <c r="V103" s="75"/>
      <c r="W103" s="75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</row>
    <row r="104" spans="1:54" s="70" customFormat="1" hidden="1" outlineLevel="1" x14ac:dyDescent="0.25">
      <c r="A104" s="131" t="s">
        <v>3</v>
      </c>
      <c r="B104" s="70" t="s">
        <v>5</v>
      </c>
      <c r="C104" s="257" t="str">
        <f t="shared" si="56"/>
        <v>без отсрочкиНовостройка48</v>
      </c>
      <c r="D104" s="73">
        <v>48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</row>
    <row r="105" spans="1:54" s="70" customFormat="1" hidden="1" outlineLevel="1" x14ac:dyDescent="0.25">
      <c r="A105" s="131" t="s">
        <v>3</v>
      </c>
      <c r="B105" s="70" t="s">
        <v>5</v>
      </c>
      <c r="C105" s="257" t="str">
        <f t="shared" si="56"/>
        <v>без отсрочкиНовостройка60</v>
      </c>
      <c r="D105" s="73">
        <v>60</v>
      </c>
      <c r="E105" s="128"/>
      <c r="F105" s="128"/>
      <c r="G105" s="128"/>
      <c r="H105" s="128"/>
      <c r="I105" s="128"/>
      <c r="J105" s="128"/>
      <c r="K105" s="128"/>
      <c r="L105" s="128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Y105" s="78"/>
      <c r="Z105" s="78"/>
      <c r="AA105" s="78"/>
      <c r="AB105" s="78"/>
      <c r="AC105" s="78"/>
      <c r="AD105" s="78"/>
      <c r="AE105" s="78"/>
      <c r="AF105" s="78"/>
      <c r="AG105" s="78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</row>
    <row r="106" spans="1:54" s="70" customFormat="1" hidden="1" outlineLevel="1" x14ac:dyDescent="0.25">
      <c r="A106" s="131"/>
      <c r="C106" s="257"/>
      <c r="D106" s="72">
        <v>1.06</v>
      </c>
      <c r="E106" s="31">
        <v>0.25</v>
      </c>
      <c r="F106" s="31">
        <v>0.75</v>
      </c>
      <c r="G106" s="31">
        <v>1</v>
      </c>
      <c r="H106" s="31">
        <v>1.25</v>
      </c>
      <c r="I106" s="31">
        <v>1.5</v>
      </c>
      <c r="J106" s="31">
        <v>1.7500000000000002</v>
      </c>
      <c r="K106" s="31">
        <v>2</v>
      </c>
      <c r="L106" s="31">
        <v>2.25</v>
      </c>
      <c r="M106" s="31">
        <v>2.5</v>
      </c>
      <c r="N106" s="31">
        <v>2.75</v>
      </c>
      <c r="O106" s="31">
        <v>3</v>
      </c>
      <c r="P106" s="31">
        <v>3.25</v>
      </c>
      <c r="Q106" s="31">
        <v>3.5000000000000004</v>
      </c>
      <c r="R106" s="31">
        <v>3.75</v>
      </c>
      <c r="S106" s="31">
        <v>4</v>
      </c>
      <c r="T106" s="31"/>
      <c r="U106" s="31"/>
      <c r="V106" s="31"/>
      <c r="W106" s="31"/>
      <c r="Y106" s="31">
        <v>0.25</v>
      </c>
      <c r="Z106" s="31">
        <v>0.5</v>
      </c>
      <c r="AA106" s="31">
        <v>0.75</v>
      </c>
      <c r="AB106" s="31">
        <v>1</v>
      </c>
      <c r="AC106" s="31">
        <v>1.25</v>
      </c>
      <c r="AD106" s="31">
        <v>1.5</v>
      </c>
      <c r="AE106" s="31">
        <v>1.7500000000000002</v>
      </c>
      <c r="AF106" s="31">
        <v>2</v>
      </c>
      <c r="AG106" s="31">
        <v>2.25</v>
      </c>
      <c r="AH106" s="31">
        <v>2.5</v>
      </c>
      <c r="AI106" s="31">
        <v>2.75</v>
      </c>
      <c r="AJ106" s="31">
        <v>3</v>
      </c>
      <c r="AK106" s="31">
        <v>3.25</v>
      </c>
      <c r="AL106" s="31">
        <v>3.5000000000000004</v>
      </c>
      <c r="AM106" s="31">
        <v>3.75</v>
      </c>
      <c r="AN106" s="31">
        <v>4</v>
      </c>
    </row>
    <row r="107" spans="1:54" s="70" customFormat="1" hidden="1" outlineLevel="1" x14ac:dyDescent="0.25">
      <c r="A107" s="131">
        <v>6</v>
      </c>
      <c r="B107" s="70" t="s">
        <v>6</v>
      </c>
      <c r="C107" s="257" t="str">
        <f t="shared" si="56"/>
        <v>6Новостройка с господдержкой 20206</v>
      </c>
      <c r="D107" s="73">
        <v>6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29"/>
    </row>
    <row r="108" spans="1:54" s="70" customFormat="1" hidden="1" outlineLevel="1" x14ac:dyDescent="0.25">
      <c r="A108" s="131">
        <v>6</v>
      </c>
      <c r="B108" s="70" t="s">
        <v>6</v>
      </c>
      <c r="C108" s="257" t="str">
        <f t="shared" si="56"/>
        <v>6Новостройка с господдержкой 202012</v>
      </c>
      <c r="D108" s="73">
        <v>12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29"/>
    </row>
    <row r="109" spans="1:54" s="70" customFormat="1" hidden="1" outlineLevel="1" x14ac:dyDescent="0.25">
      <c r="A109" s="131">
        <v>6</v>
      </c>
      <c r="B109" s="70" t="s">
        <v>6</v>
      </c>
      <c r="C109" s="257" t="str">
        <f t="shared" si="56"/>
        <v>6Новостройка с господдержкой 202024</v>
      </c>
      <c r="D109" s="73">
        <v>24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29"/>
    </row>
    <row r="110" spans="1:54" s="70" customFormat="1" hidden="1" outlineLevel="1" x14ac:dyDescent="0.25">
      <c r="A110" s="131">
        <v>6</v>
      </c>
      <c r="B110" s="70" t="s">
        <v>6</v>
      </c>
      <c r="C110" s="257" t="str">
        <f t="shared" si="56"/>
        <v>6Новостройка с господдержкой 202036</v>
      </c>
      <c r="D110" s="73">
        <v>36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29"/>
    </row>
    <row r="111" spans="1:54" s="70" customFormat="1" hidden="1" outlineLevel="1" x14ac:dyDescent="0.25">
      <c r="A111" s="131">
        <v>6</v>
      </c>
      <c r="B111" s="70" t="s">
        <v>6</v>
      </c>
      <c r="C111" s="257" t="str">
        <f t="shared" si="56"/>
        <v>6Новостройка с господдержкой 202048</v>
      </c>
      <c r="D111" s="73">
        <v>48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30"/>
      <c r="T111" s="30"/>
      <c r="U111" s="30"/>
      <c r="V111" s="30"/>
      <c r="W111" s="30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29"/>
    </row>
    <row r="112" spans="1:54" s="70" customFormat="1" hidden="1" outlineLevel="1" x14ac:dyDescent="0.25">
      <c r="A112" s="131">
        <v>6</v>
      </c>
      <c r="B112" s="70" t="s">
        <v>6</v>
      </c>
      <c r="C112" s="257" t="str">
        <f t="shared" si="56"/>
        <v>6Новостройка с господдержкой 202060</v>
      </c>
      <c r="D112" s="73">
        <v>60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30"/>
      <c r="T112" s="30"/>
      <c r="U112" s="30"/>
      <c r="V112" s="30"/>
      <c r="W112" s="30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29"/>
    </row>
    <row r="113" spans="1:40" s="70" customFormat="1" hidden="1" outlineLevel="1" x14ac:dyDescent="0.25">
      <c r="A113" s="131">
        <v>6</v>
      </c>
      <c r="B113" s="70" t="s">
        <v>10</v>
      </c>
      <c r="C113" s="257" t="str">
        <f t="shared" si="56"/>
        <v>6Семейная ипотека6</v>
      </c>
      <c r="D113" s="73">
        <v>6</v>
      </c>
      <c r="E113" s="128"/>
      <c r="F113" s="128"/>
      <c r="G113" s="128"/>
      <c r="H113" s="128"/>
      <c r="I113" s="128"/>
      <c r="J113" s="128"/>
      <c r="K113" s="128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Y113" s="78"/>
      <c r="Z113" s="78"/>
      <c r="AA113" s="78"/>
      <c r="AB113" s="78"/>
      <c r="AC113" s="78"/>
      <c r="AD113" s="78"/>
      <c r="AE113" s="78"/>
      <c r="AF113" s="29"/>
      <c r="AG113" s="29"/>
      <c r="AH113" s="29"/>
      <c r="AI113" s="29"/>
      <c r="AJ113" s="29"/>
      <c r="AK113" s="29"/>
      <c r="AL113" s="29"/>
      <c r="AM113" s="29"/>
      <c r="AN113" s="29"/>
    </row>
    <row r="114" spans="1:40" s="70" customFormat="1" hidden="1" outlineLevel="1" x14ac:dyDescent="0.25">
      <c r="A114" s="131">
        <v>6</v>
      </c>
      <c r="B114" s="70" t="s">
        <v>10</v>
      </c>
      <c r="C114" s="257" t="str">
        <f t="shared" si="56"/>
        <v>6Семейная ипотека12</v>
      </c>
      <c r="D114" s="73">
        <v>12</v>
      </c>
      <c r="E114" s="128"/>
      <c r="F114" s="128"/>
      <c r="G114" s="128"/>
      <c r="H114" s="128"/>
      <c r="I114" s="128"/>
      <c r="J114" s="128"/>
      <c r="K114" s="128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Y114" s="78"/>
      <c r="Z114" s="78"/>
      <c r="AA114" s="78"/>
      <c r="AB114" s="78"/>
      <c r="AC114" s="78"/>
      <c r="AD114" s="78"/>
      <c r="AE114" s="78"/>
      <c r="AF114" s="29"/>
      <c r="AG114" s="29"/>
      <c r="AH114" s="29"/>
      <c r="AI114" s="29"/>
      <c r="AJ114" s="29"/>
      <c r="AK114" s="29"/>
      <c r="AL114" s="29"/>
      <c r="AM114" s="29"/>
      <c r="AN114" s="29"/>
    </row>
    <row r="115" spans="1:40" s="70" customFormat="1" hidden="1" outlineLevel="1" x14ac:dyDescent="0.25">
      <c r="A115" s="131">
        <v>6</v>
      </c>
      <c r="B115" s="70" t="s">
        <v>10</v>
      </c>
      <c r="C115" s="257" t="str">
        <f t="shared" si="56"/>
        <v>6Семейная ипотека24</v>
      </c>
      <c r="D115" s="73">
        <v>24</v>
      </c>
      <c r="E115" s="128"/>
      <c r="F115" s="128"/>
      <c r="G115" s="128"/>
      <c r="H115" s="128"/>
      <c r="I115" s="128"/>
      <c r="J115" s="128"/>
      <c r="K115" s="128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Y115" s="78"/>
      <c r="Z115" s="78"/>
      <c r="AA115" s="78"/>
      <c r="AB115" s="78"/>
      <c r="AC115" s="78"/>
      <c r="AD115" s="78"/>
      <c r="AE115" s="78"/>
      <c r="AF115" s="29"/>
      <c r="AG115" s="29"/>
      <c r="AH115" s="29"/>
      <c r="AI115" s="29"/>
      <c r="AJ115" s="29"/>
      <c r="AK115" s="29"/>
      <c r="AL115" s="29"/>
      <c r="AM115" s="29"/>
      <c r="AN115" s="29"/>
    </row>
    <row r="116" spans="1:40" s="70" customFormat="1" hidden="1" outlineLevel="1" x14ac:dyDescent="0.25">
      <c r="A116" s="131">
        <v>6</v>
      </c>
      <c r="B116" s="70" t="s">
        <v>10</v>
      </c>
      <c r="C116" s="257" t="str">
        <f t="shared" si="56"/>
        <v>6Семейная ипотека36</v>
      </c>
      <c r="D116" s="73">
        <v>36</v>
      </c>
      <c r="E116" s="128"/>
      <c r="F116" s="128"/>
      <c r="G116" s="128"/>
      <c r="H116" s="128"/>
      <c r="I116" s="128"/>
      <c r="J116" s="128"/>
      <c r="K116" s="128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Y116" s="78"/>
      <c r="Z116" s="78"/>
      <c r="AA116" s="78"/>
      <c r="AB116" s="78"/>
      <c r="AC116" s="78"/>
      <c r="AD116" s="78"/>
      <c r="AE116" s="78"/>
      <c r="AF116" s="29"/>
      <c r="AG116" s="29"/>
      <c r="AH116" s="29"/>
      <c r="AI116" s="29"/>
      <c r="AJ116" s="29"/>
      <c r="AK116" s="29"/>
      <c r="AL116" s="29"/>
      <c r="AM116" s="29"/>
      <c r="AN116" s="29"/>
    </row>
    <row r="117" spans="1:40" s="70" customFormat="1" hidden="1" outlineLevel="1" x14ac:dyDescent="0.25">
      <c r="A117" s="131">
        <v>6</v>
      </c>
      <c r="B117" s="70" t="s">
        <v>10</v>
      </c>
      <c r="C117" s="257" t="str">
        <f t="shared" si="56"/>
        <v>6Семейная ипотека48</v>
      </c>
      <c r="D117" s="73">
        <v>48</v>
      </c>
      <c r="E117" s="128"/>
      <c r="F117" s="128"/>
      <c r="G117" s="128"/>
      <c r="H117" s="128"/>
      <c r="I117" s="128"/>
      <c r="J117" s="128"/>
      <c r="K117" s="128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Y117" s="78"/>
      <c r="Z117" s="78"/>
      <c r="AA117" s="78"/>
      <c r="AB117" s="78"/>
      <c r="AC117" s="78"/>
      <c r="AD117" s="78"/>
      <c r="AE117" s="78"/>
      <c r="AF117" s="29"/>
      <c r="AG117" s="29"/>
      <c r="AH117" s="29"/>
      <c r="AI117" s="29"/>
      <c r="AJ117" s="29"/>
      <c r="AK117" s="29"/>
      <c r="AL117" s="29"/>
      <c r="AM117" s="29"/>
      <c r="AN117" s="29"/>
    </row>
    <row r="118" spans="1:40" s="70" customFormat="1" hidden="1" outlineLevel="1" x14ac:dyDescent="0.25">
      <c r="A118" s="131">
        <v>6</v>
      </c>
      <c r="B118" s="70" t="s">
        <v>10</v>
      </c>
      <c r="C118" s="257" t="str">
        <f t="shared" si="56"/>
        <v>6Семейная ипотека60</v>
      </c>
      <c r="D118" s="73">
        <v>60</v>
      </c>
      <c r="E118" s="128"/>
      <c r="F118" s="128"/>
      <c r="G118" s="128"/>
      <c r="H118" s="128"/>
      <c r="I118" s="128"/>
      <c r="J118" s="128"/>
      <c r="K118" s="128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Y118" s="78"/>
      <c r="Z118" s="78"/>
      <c r="AA118" s="78"/>
      <c r="AB118" s="78"/>
      <c r="AC118" s="78"/>
      <c r="AD118" s="78"/>
      <c r="AE118" s="78"/>
      <c r="AF118" s="29"/>
      <c r="AG118" s="29"/>
      <c r="AH118" s="29"/>
      <c r="AI118" s="29"/>
      <c r="AJ118" s="29"/>
      <c r="AK118" s="29"/>
      <c r="AL118" s="29"/>
      <c r="AM118" s="29"/>
      <c r="AN118" s="29"/>
    </row>
    <row r="119" spans="1:40" s="70" customFormat="1" hidden="1" outlineLevel="1" x14ac:dyDescent="0.25">
      <c r="A119" s="131">
        <v>6</v>
      </c>
      <c r="B119" s="70" t="s">
        <v>62</v>
      </c>
      <c r="C119" s="257" t="str">
        <f t="shared" si="56"/>
        <v>6Семейная ипотека ДФО6</v>
      </c>
      <c r="D119" s="73">
        <v>6</v>
      </c>
      <c r="E119" s="128"/>
      <c r="F119" s="128"/>
      <c r="G119" s="128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Y119" s="78"/>
      <c r="Z119" s="78"/>
      <c r="AA119" s="78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</row>
    <row r="120" spans="1:40" s="70" customFormat="1" hidden="1" outlineLevel="1" x14ac:dyDescent="0.25">
      <c r="A120" s="131">
        <v>6</v>
      </c>
      <c r="B120" s="70" t="s">
        <v>62</v>
      </c>
      <c r="C120" s="257" t="str">
        <f t="shared" si="56"/>
        <v>6Семейная ипотека ДФО12</v>
      </c>
      <c r="D120" s="73">
        <v>12</v>
      </c>
      <c r="E120" s="128"/>
      <c r="F120" s="128"/>
      <c r="G120" s="128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Y120" s="78"/>
      <c r="Z120" s="78"/>
      <c r="AA120" s="78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</row>
    <row r="121" spans="1:40" s="70" customFormat="1" hidden="1" outlineLevel="1" x14ac:dyDescent="0.25">
      <c r="A121" s="131">
        <v>6</v>
      </c>
      <c r="B121" s="70" t="s">
        <v>62</v>
      </c>
      <c r="C121" s="257" t="str">
        <f t="shared" si="56"/>
        <v>6Семейная ипотека ДФО24</v>
      </c>
      <c r="D121" s="73">
        <v>24</v>
      </c>
      <c r="E121" s="128"/>
      <c r="F121" s="128"/>
      <c r="G121" s="128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Y121" s="78"/>
      <c r="Z121" s="78"/>
      <c r="AA121" s="78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</row>
    <row r="122" spans="1:40" s="70" customFormat="1" hidden="1" outlineLevel="1" x14ac:dyDescent="0.25">
      <c r="A122" s="131">
        <v>6</v>
      </c>
      <c r="B122" s="70" t="s">
        <v>62</v>
      </c>
      <c r="C122" s="257" t="str">
        <f t="shared" si="56"/>
        <v>6Семейная ипотека ДФО36</v>
      </c>
      <c r="D122" s="73">
        <v>36</v>
      </c>
      <c r="E122" s="128"/>
      <c r="F122" s="128"/>
      <c r="G122" s="128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Y122" s="78"/>
      <c r="Z122" s="78"/>
      <c r="AA122" s="78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</row>
    <row r="123" spans="1:40" s="70" customFormat="1" hidden="1" outlineLevel="1" x14ac:dyDescent="0.25">
      <c r="A123" s="131">
        <v>6</v>
      </c>
      <c r="B123" s="70" t="s">
        <v>62</v>
      </c>
      <c r="C123" s="257" t="str">
        <f t="shared" si="56"/>
        <v>6Семейная ипотека ДФО48</v>
      </c>
      <c r="D123" s="73">
        <v>48</v>
      </c>
      <c r="E123" s="128"/>
      <c r="F123" s="128"/>
      <c r="G123" s="128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Y123" s="78"/>
      <c r="Z123" s="78"/>
      <c r="AA123" s="78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</row>
    <row r="124" spans="1:40" s="70" customFormat="1" hidden="1" outlineLevel="1" x14ac:dyDescent="0.25">
      <c r="A124" s="131">
        <v>6</v>
      </c>
      <c r="B124" s="70" t="s">
        <v>62</v>
      </c>
      <c r="C124" s="257" t="str">
        <f t="shared" si="56"/>
        <v>6Семейная ипотека ДФО60</v>
      </c>
      <c r="D124" s="73">
        <v>60</v>
      </c>
      <c r="E124" s="128"/>
      <c r="F124" s="128"/>
      <c r="G124" s="128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Y124" s="78"/>
      <c r="Z124" s="78"/>
      <c r="AA124" s="78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</row>
    <row r="125" spans="1:40" s="70" customFormat="1" hidden="1" outlineLevel="1" x14ac:dyDescent="0.25">
      <c r="A125" s="131">
        <v>6</v>
      </c>
      <c r="B125" s="70" t="s">
        <v>38</v>
      </c>
      <c r="C125" s="257" t="str">
        <f t="shared" si="56"/>
        <v>6Ипотека для IT-специалистов6</v>
      </c>
      <c r="D125" s="73">
        <v>6</v>
      </c>
      <c r="E125" s="128"/>
      <c r="F125" s="128"/>
      <c r="G125" s="128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Y125" s="78"/>
      <c r="Z125" s="78"/>
      <c r="AA125" s="78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</row>
    <row r="126" spans="1:40" s="70" customFormat="1" hidden="1" outlineLevel="1" x14ac:dyDescent="0.25">
      <c r="A126" s="131">
        <v>6</v>
      </c>
      <c r="B126" s="70" t="s">
        <v>38</v>
      </c>
      <c r="C126" s="257" t="str">
        <f t="shared" si="56"/>
        <v>6Ипотека для IT-специалистов12</v>
      </c>
      <c r="D126" s="73">
        <v>12</v>
      </c>
      <c r="E126" s="128"/>
      <c r="F126" s="128"/>
      <c r="G126" s="128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Y126" s="78"/>
      <c r="Z126" s="78"/>
      <c r="AA126" s="78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</row>
    <row r="127" spans="1:40" s="70" customFormat="1" hidden="1" outlineLevel="1" x14ac:dyDescent="0.25">
      <c r="A127" s="131">
        <v>6</v>
      </c>
      <c r="B127" s="70" t="s">
        <v>38</v>
      </c>
      <c r="C127" s="257" t="str">
        <f t="shared" si="56"/>
        <v>6Ипотека для IT-специалистов24</v>
      </c>
      <c r="D127" s="73">
        <v>24</v>
      </c>
      <c r="E127" s="128"/>
      <c r="F127" s="128"/>
      <c r="G127" s="128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Y127" s="78"/>
      <c r="Z127" s="78"/>
      <c r="AA127" s="78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</row>
    <row r="128" spans="1:40" s="70" customFormat="1" hidden="1" outlineLevel="1" x14ac:dyDescent="0.25">
      <c r="A128" s="131">
        <v>6</v>
      </c>
      <c r="B128" s="70" t="s">
        <v>38</v>
      </c>
      <c r="C128" s="257" t="str">
        <f t="shared" si="56"/>
        <v>6Ипотека для IT-специалистов36</v>
      </c>
      <c r="D128" s="73">
        <v>36</v>
      </c>
      <c r="E128" s="128"/>
      <c r="F128" s="128"/>
      <c r="G128" s="128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Y128" s="78"/>
      <c r="Z128" s="78"/>
      <c r="AA128" s="78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</row>
    <row r="129" spans="1:54" s="70" customFormat="1" hidden="1" outlineLevel="1" x14ac:dyDescent="0.25">
      <c r="A129" s="131">
        <v>6</v>
      </c>
      <c r="B129" s="70" t="s">
        <v>38</v>
      </c>
      <c r="C129" s="257" t="str">
        <f t="shared" si="56"/>
        <v>6Ипотека для IT-специалистов48</v>
      </c>
      <c r="D129" s="73">
        <v>48</v>
      </c>
      <c r="E129" s="128"/>
      <c r="F129" s="128"/>
      <c r="G129" s="128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Y129" s="78"/>
      <c r="Z129" s="78"/>
      <c r="AA129" s="78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</row>
    <row r="130" spans="1:54" s="70" customFormat="1" hidden="1" outlineLevel="1" x14ac:dyDescent="0.25">
      <c r="A130" s="131">
        <v>6</v>
      </c>
      <c r="B130" s="70" t="s">
        <v>38</v>
      </c>
      <c r="C130" s="257" t="str">
        <f t="shared" si="56"/>
        <v>6Ипотека для IT-специалистов60</v>
      </c>
      <c r="D130" s="73">
        <v>60</v>
      </c>
      <c r="E130" s="128"/>
      <c r="F130" s="128"/>
      <c r="G130" s="128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Y130" s="78"/>
      <c r="Z130" s="78"/>
      <c r="AA130" s="78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</row>
    <row r="131" spans="1:54" s="70" customFormat="1" hidden="1" outlineLevel="1" x14ac:dyDescent="0.25">
      <c r="A131" s="131"/>
      <c r="C131" s="257"/>
      <c r="D131" s="72">
        <v>1.06</v>
      </c>
      <c r="E131" s="74">
        <v>0.5</v>
      </c>
      <c r="F131" s="74">
        <v>1.5</v>
      </c>
      <c r="G131" s="74">
        <v>2</v>
      </c>
      <c r="H131" s="74">
        <v>2.5</v>
      </c>
      <c r="I131" s="74">
        <v>3</v>
      </c>
      <c r="J131" s="74">
        <v>3.5</v>
      </c>
      <c r="K131" s="74">
        <v>4</v>
      </c>
      <c r="L131" s="74">
        <v>4.5</v>
      </c>
      <c r="M131" s="74">
        <v>5</v>
      </c>
      <c r="N131" s="74">
        <v>5.5</v>
      </c>
      <c r="O131" s="74">
        <v>6</v>
      </c>
      <c r="P131" s="74">
        <v>6.5</v>
      </c>
      <c r="Q131" s="74">
        <v>7</v>
      </c>
      <c r="R131" s="74">
        <v>7.5</v>
      </c>
      <c r="S131" s="74">
        <v>8</v>
      </c>
      <c r="T131" s="74">
        <v>8.5</v>
      </c>
      <c r="U131" s="74">
        <v>9</v>
      </c>
      <c r="V131" s="74">
        <v>9.5</v>
      </c>
      <c r="W131" s="74">
        <v>10</v>
      </c>
      <c r="Y131" s="74">
        <v>0.5</v>
      </c>
      <c r="Z131" s="74">
        <v>1</v>
      </c>
      <c r="AA131" s="74">
        <v>1.5</v>
      </c>
      <c r="AB131" s="74">
        <v>2</v>
      </c>
      <c r="AC131" s="74">
        <v>2.5</v>
      </c>
      <c r="AD131" s="74">
        <v>3</v>
      </c>
      <c r="AE131" s="74">
        <v>3.5</v>
      </c>
      <c r="AF131" s="74">
        <v>4</v>
      </c>
      <c r="AG131" s="74">
        <v>4.5</v>
      </c>
      <c r="AH131" s="74">
        <v>5</v>
      </c>
      <c r="AI131" s="74">
        <v>5.5</v>
      </c>
      <c r="AJ131" s="74">
        <v>6</v>
      </c>
      <c r="AK131" s="74">
        <v>6.5</v>
      </c>
      <c r="AL131" s="74">
        <v>7</v>
      </c>
      <c r="AM131" s="74">
        <v>7.5</v>
      </c>
      <c r="AN131" s="74">
        <v>8</v>
      </c>
      <c r="AO131" s="74">
        <v>8.5</v>
      </c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</row>
    <row r="132" spans="1:54" s="70" customFormat="1" hidden="1" outlineLevel="1" x14ac:dyDescent="0.25">
      <c r="A132" s="131">
        <v>6</v>
      </c>
      <c r="B132" s="70" t="s">
        <v>5</v>
      </c>
      <c r="C132" s="257" t="str">
        <f t="shared" si="56"/>
        <v>6Новостройка6</v>
      </c>
      <c r="D132" s="73">
        <v>6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</row>
    <row r="133" spans="1:54" s="70" customFormat="1" hidden="1" outlineLevel="1" x14ac:dyDescent="0.25">
      <c r="A133" s="131">
        <v>6</v>
      </c>
      <c r="B133" s="70" t="s">
        <v>5</v>
      </c>
      <c r="C133" s="257" t="str">
        <f t="shared" si="56"/>
        <v>6Новостройка12</v>
      </c>
      <c r="D133" s="73">
        <v>12</v>
      </c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</row>
    <row r="134" spans="1:54" s="70" customFormat="1" hidden="1" outlineLevel="1" x14ac:dyDescent="0.25">
      <c r="A134" s="131">
        <v>6</v>
      </c>
      <c r="B134" s="70" t="s">
        <v>5</v>
      </c>
      <c r="C134" s="257" t="str">
        <f t="shared" si="56"/>
        <v>6Новостройка24</v>
      </c>
      <c r="D134" s="73">
        <v>24</v>
      </c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76"/>
      <c r="Q134" s="76"/>
      <c r="R134" s="76"/>
      <c r="S134" s="76"/>
      <c r="T134" s="76"/>
      <c r="U134" s="76"/>
      <c r="V134" s="76"/>
      <c r="W134" s="76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</row>
    <row r="135" spans="1:54" s="70" customFormat="1" hidden="1" outlineLevel="1" x14ac:dyDescent="0.25">
      <c r="A135" s="131">
        <v>6</v>
      </c>
      <c r="B135" s="70" t="s">
        <v>5</v>
      </c>
      <c r="C135" s="257" t="str">
        <f t="shared" si="56"/>
        <v>6Новостройка36</v>
      </c>
      <c r="D135" s="73">
        <v>36</v>
      </c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78"/>
      <c r="P135" s="76"/>
      <c r="Q135" s="76"/>
      <c r="R135" s="76"/>
      <c r="S135" s="76"/>
      <c r="T135" s="76"/>
      <c r="U135" s="76"/>
      <c r="V135" s="76"/>
      <c r="W135" s="76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</row>
    <row r="136" spans="1:54" s="70" customFormat="1" hidden="1" outlineLevel="1" x14ac:dyDescent="0.25">
      <c r="A136" s="131">
        <v>6</v>
      </c>
      <c r="B136" s="70" t="s">
        <v>5</v>
      </c>
      <c r="C136" s="257" t="str">
        <f t="shared" si="56"/>
        <v>6Новостройка48</v>
      </c>
      <c r="D136" s="73">
        <v>48</v>
      </c>
      <c r="E136" s="128"/>
      <c r="F136" s="128"/>
      <c r="G136" s="128"/>
      <c r="H136" s="128"/>
      <c r="I136" s="128"/>
      <c r="J136" s="128"/>
      <c r="K136" s="128"/>
      <c r="L136" s="128"/>
      <c r="M136" s="128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</row>
    <row r="137" spans="1:54" s="70" customFormat="1" hidden="1" outlineLevel="1" x14ac:dyDescent="0.25">
      <c r="A137" s="131">
        <v>6</v>
      </c>
      <c r="B137" s="70" t="s">
        <v>5</v>
      </c>
      <c r="C137" s="257" t="str">
        <f t="shared" si="56"/>
        <v>6Новостройка60</v>
      </c>
      <c r="D137" s="73">
        <v>60</v>
      </c>
      <c r="E137" s="128"/>
      <c r="F137" s="128"/>
      <c r="G137" s="128"/>
      <c r="H137" s="128"/>
      <c r="I137" s="128"/>
      <c r="J137" s="128"/>
      <c r="K137" s="128"/>
      <c r="L137" s="128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Y137" s="78"/>
      <c r="Z137" s="78"/>
      <c r="AA137" s="78"/>
      <c r="AB137" s="78"/>
      <c r="AC137" s="78"/>
      <c r="AD137" s="78"/>
      <c r="AE137" s="78"/>
      <c r="AF137" s="78"/>
      <c r="AG137" s="78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</row>
    <row r="138" spans="1:54" s="70" customFormat="1" hidden="1" outlineLevel="1" x14ac:dyDescent="0.25">
      <c r="A138" s="131"/>
      <c r="C138" s="257"/>
      <c r="D138" s="72">
        <v>1.1200000000000001</v>
      </c>
      <c r="E138" s="31">
        <v>0.25</v>
      </c>
      <c r="F138" s="31">
        <v>0.75</v>
      </c>
      <c r="G138" s="31">
        <v>1</v>
      </c>
      <c r="H138" s="31">
        <v>1.25</v>
      </c>
      <c r="I138" s="31">
        <v>1.5</v>
      </c>
      <c r="J138" s="31">
        <v>1.7500000000000002</v>
      </c>
      <c r="K138" s="31">
        <v>2</v>
      </c>
      <c r="L138" s="31">
        <v>2.25</v>
      </c>
      <c r="M138" s="31">
        <v>2.5</v>
      </c>
      <c r="N138" s="31">
        <v>2.75</v>
      </c>
      <c r="O138" s="31">
        <v>3</v>
      </c>
      <c r="P138" s="31">
        <v>3.25</v>
      </c>
      <c r="Q138" s="31">
        <v>3.5000000000000004</v>
      </c>
      <c r="R138" s="31">
        <v>3.75</v>
      </c>
      <c r="S138" s="31">
        <v>4</v>
      </c>
      <c r="Y138" s="31">
        <v>0.25</v>
      </c>
      <c r="Z138" s="31">
        <v>0.5</v>
      </c>
      <c r="AA138" s="31">
        <v>0.75</v>
      </c>
      <c r="AB138" s="31">
        <v>1</v>
      </c>
      <c r="AC138" s="31">
        <v>1.25</v>
      </c>
      <c r="AD138" s="31">
        <v>1.5</v>
      </c>
      <c r="AE138" s="31">
        <v>1.7500000000000002</v>
      </c>
      <c r="AF138" s="31">
        <v>2</v>
      </c>
      <c r="AG138" s="31">
        <v>2.25</v>
      </c>
      <c r="AH138" s="31">
        <v>2.5</v>
      </c>
      <c r="AI138" s="31">
        <v>2.75</v>
      </c>
      <c r="AJ138" s="31">
        <v>3</v>
      </c>
      <c r="AK138" s="31">
        <v>3.25</v>
      </c>
      <c r="AL138" s="31">
        <v>3.5000000000000004</v>
      </c>
      <c r="AM138" s="31">
        <v>3.75</v>
      </c>
      <c r="AN138" s="31">
        <v>4</v>
      </c>
    </row>
    <row r="139" spans="1:54" s="70" customFormat="1" hidden="1" outlineLevel="1" x14ac:dyDescent="0.25">
      <c r="A139" s="131">
        <v>12</v>
      </c>
      <c r="B139" s="70" t="s">
        <v>6</v>
      </c>
      <c r="C139" s="257" t="str">
        <f t="shared" ref="C139:C200" si="57">CONCATENATE(A139,B139,D139)</f>
        <v>12Новостройка с господдержкой 20206</v>
      </c>
      <c r="D139" s="73">
        <v>6</v>
      </c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41"/>
      <c r="U139" s="41"/>
      <c r="V139" s="41"/>
      <c r="W139" s="41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29"/>
    </row>
    <row r="140" spans="1:54" s="70" customFormat="1" hidden="1" outlineLevel="1" x14ac:dyDescent="0.25">
      <c r="A140" s="131">
        <v>12</v>
      </c>
      <c r="B140" s="70" t="s">
        <v>6</v>
      </c>
      <c r="C140" s="257" t="str">
        <f t="shared" si="57"/>
        <v>12Новостройка с господдержкой 202012</v>
      </c>
      <c r="D140" s="73">
        <v>12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41"/>
      <c r="U140" s="41"/>
      <c r="V140" s="41"/>
      <c r="W140" s="41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29"/>
    </row>
    <row r="141" spans="1:54" s="70" customFormat="1" hidden="1" outlineLevel="1" x14ac:dyDescent="0.25">
      <c r="A141" s="131">
        <v>12</v>
      </c>
      <c r="B141" s="70" t="s">
        <v>6</v>
      </c>
      <c r="C141" s="257" t="str">
        <f t="shared" si="57"/>
        <v>12Новостройка с господдержкой 202024</v>
      </c>
      <c r="D141" s="73">
        <v>24</v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41"/>
      <c r="U141" s="41"/>
      <c r="V141" s="41"/>
      <c r="W141" s="41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29"/>
    </row>
    <row r="142" spans="1:54" s="70" customFormat="1" hidden="1" outlineLevel="1" x14ac:dyDescent="0.25">
      <c r="A142" s="131">
        <v>12</v>
      </c>
      <c r="B142" s="70" t="s">
        <v>6</v>
      </c>
      <c r="C142" s="257" t="str">
        <f t="shared" si="57"/>
        <v>12Новостройка с господдержкой 202036</v>
      </c>
      <c r="D142" s="73">
        <v>36</v>
      </c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41"/>
      <c r="U142" s="41"/>
      <c r="V142" s="41"/>
      <c r="W142" s="41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29"/>
    </row>
    <row r="143" spans="1:54" s="70" customFormat="1" hidden="1" outlineLevel="1" x14ac:dyDescent="0.25">
      <c r="A143" s="131">
        <v>12</v>
      </c>
      <c r="B143" s="70" t="s">
        <v>6</v>
      </c>
      <c r="C143" s="257" t="str">
        <f t="shared" si="57"/>
        <v>12Новостройка с господдержкой 202048</v>
      </c>
      <c r="D143" s="73">
        <v>48</v>
      </c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30"/>
      <c r="T143" s="41"/>
      <c r="U143" s="41"/>
      <c r="V143" s="41"/>
      <c r="W143" s="41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29"/>
    </row>
    <row r="144" spans="1:54" s="70" customFormat="1" hidden="1" outlineLevel="1" x14ac:dyDescent="0.25">
      <c r="A144" s="131">
        <v>12</v>
      </c>
      <c r="B144" s="70" t="s">
        <v>6</v>
      </c>
      <c r="C144" s="257" t="str">
        <f t="shared" si="57"/>
        <v>12Новостройка с господдержкой 202060</v>
      </c>
      <c r="D144" s="73">
        <v>60</v>
      </c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30"/>
      <c r="T144" s="41"/>
      <c r="U144" s="41"/>
      <c r="V144" s="41"/>
      <c r="W144" s="41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29"/>
    </row>
    <row r="145" spans="1:40" s="70" customFormat="1" hidden="1" outlineLevel="1" x14ac:dyDescent="0.25">
      <c r="A145" s="131">
        <v>12</v>
      </c>
      <c r="B145" s="70" t="s">
        <v>10</v>
      </c>
      <c r="C145" s="257" t="str">
        <f t="shared" si="57"/>
        <v>12Семейная ипотека6</v>
      </c>
      <c r="D145" s="73">
        <v>6</v>
      </c>
      <c r="E145" s="128"/>
      <c r="F145" s="128"/>
      <c r="G145" s="128"/>
      <c r="H145" s="128"/>
      <c r="I145" s="128"/>
      <c r="J145" s="128"/>
      <c r="K145" s="128"/>
      <c r="L145" s="30"/>
      <c r="M145" s="30"/>
      <c r="N145" s="30"/>
      <c r="O145" s="30"/>
      <c r="P145" s="30"/>
      <c r="Q145" s="30"/>
      <c r="R145" s="30"/>
      <c r="S145" s="30"/>
      <c r="T145" s="41"/>
      <c r="U145" s="41"/>
      <c r="V145" s="41"/>
      <c r="W145" s="41"/>
      <c r="Y145" s="78"/>
      <c r="Z145" s="78"/>
      <c r="AA145" s="78"/>
      <c r="AB145" s="78"/>
      <c r="AC145" s="78"/>
      <c r="AD145" s="78"/>
      <c r="AE145" s="78"/>
      <c r="AF145" s="29"/>
      <c r="AG145" s="29"/>
      <c r="AH145" s="29"/>
      <c r="AI145" s="29"/>
      <c r="AJ145" s="29"/>
      <c r="AK145" s="29"/>
      <c r="AL145" s="29"/>
      <c r="AM145" s="29"/>
      <c r="AN145" s="29"/>
    </row>
    <row r="146" spans="1:40" s="70" customFormat="1" hidden="1" outlineLevel="1" x14ac:dyDescent="0.25">
      <c r="A146" s="131">
        <v>12</v>
      </c>
      <c r="B146" s="70" t="s">
        <v>10</v>
      </c>
      <c r="C146" s="257" t="str">
        <f t="shared" si="57"/>
        <v>12Семейная ипотека12</v>
      </c>
      <c r="D146" s="73">
        <v>12</v>
      </c>
      <c r="E146" s="128"/>
      <c r="F146" s="128"/>
      <c r="G146" s="128"/>
      <c r="H146" s="128"/>
      <c r="I146" s="128"/>
      <c r="J146" s="128"/>
      <c r="K146" s="128"/>
      <c r="L146" s="30"/>
      <c r="M146" s="30"/>
      <c r="N146" s="30"/>
      <c r="O146" s="30"/>
      <c r="P146" s="30"/>
      <c r="Q146" s="30"/>
      <c r="R146" s="30"/>
      <c r="S146" s="30"/>
      <c r="T146" s="41"/>
      <c r="U146" s="41"/>
      <c r="V146" s="41"/>
      <c r="W146" s="41"/>
      <c r="Y146" s="78"/>
      <c r="Z146" s="78"/>
      <c r="AA146" s="78"/>
      <c r="AB146" s="78"/>
      <c r="AC146" s="78"/>
      <c r="AD146" s="78"/>
      <c r="AE146" s="78"/>
      <c r="AF146" s="29"/>
      <c r="AG146" s="29"/>
      <c r="AH146" s="29"/>
      <c r="AI146" s="29"/>
      <c r="AJ146" s="29"/>
      <c r="AK146" s="29"/>
      <c r="AL146" s="29"/>
      <c r="AM146" s="29"/>
      <c r="AN146" s="29"/>
    </row>
    <row r="147" spans="1:40" s="70" customFormat="1" hidden="1" outlineLevel="1" x14ac:dyDescent="0.25">
      <c r="A147" s="131">
        <v>12</v>
      </c>
      <c r="B147" s="70" t="s">
        <v>10</v>
      </c>
      <c r="C147" s="257" t="str">
        <f t="shared" si="57"/>
        <v>12Семейная ипотека24</v>
      </c>
      <c r="D147" s="73">
        <v>24</v>
      </c>
      <c r="E147" s="128"/>
      <c r="F147" s="128"/>
      <c r="G147" s="128"/>
      <c r="H147" s="128"/>
      <c r="I147" s="128"/>
      <c r="J147" s="128"/>
      <c r="K147" s="128"/>
      <c r="L147" s="30"/>
      <c r="M147" s="30"/>
      <c r="N147" s="30"/>
      <c r="O147" s="30"/>
      <c r="P147" s="30"/>
      <c r="Q147" s="30"/>
      <c r="R147" s="30"/>
      <c r="S147" s="30"/>
      <c r="T147" s="41"/>
      <c r="U147" s="41"/>
      <c r="V147" s="41"/>
      <c r="W147" s="41"/>
      <c r="Y147" s="78"/>
      <c r="Z147" s="78"/>
      <c r="AA147" s="78"/>
      <c r="AB147" s="78"/>
      <c r="AC147" s="78"/>
      <c r="AD147" s="78"/>
      <c r="AE147" s="78"/>
      <c r="AF147" s="29"/>
      <c r="AG147" s="29"/>
      <c r="AH147" s="29"/>
      <c r="AI147" s="29"/>
      <c r="AJ147" s="29"/>
      <c r="AK147" s="29"/>
      <c r="AL147" s="29"/>
      <c r="AM147" s="29"/>
      <c r="AN147" s="29"/>
    </row>
    <row r="148" spans="1:40" s="70" customFormat="1" hidden="1" outlineLevel="1" x14ac:dyDescent="0.25">
      <c r="A148" s="131">
        <v>12</v>
      </c>
      <c r="B148" s="70" t="s">
        <v>10</v>
      </c>
      <c r="C148" s="257" t="str">
        <f t="shared" si="57"/>
        <v>12Семейная ипотека36</v>
      </c>
      <c r="D148" s="73">
        <v>36</v>
      </c>
      <c r="E148" s="128"/>
      <c r="F148" s="128"/>
      <c r="G148" s="128"/>
      <c r="H148" s="128"/>
      <c r="I148" s="128"/>
      <c r="J148" s="128"/>
      <c r="K148" s="128"/>
      <c r="L148" s="30"/>
      <c r="M148" s="30"/>
      <c r="N148" s="30"/>
      <c r="O148" s="30"/>
      <c r="P148" s="30"/>
      <c r="Q148" s="30"/>
      <c r="R148" s="30"/>
      <c r="S148" s="30"/>
      <c r="T148" s="41"/>
      <c r="U148" s="41"/>
      <c r="V148" s="41"/>
      <c r="W148" s="41"/>
      <c r="Y148" s="78"/>
      <c r="Z148" s="78"/>
      <c r="AA148" s="78"/>
      <c r="AB148" s="78"/>
      <c r="AC148" s="78"/>
      <c r="AD148" s="78"/>
      <c r="AE148" s="78"/>
      <c r="AF148" s="29"/>
      <c r="AG148" s="29"/>
      <c r="AH148" s="29"/>
      <c r="AI148" s="29"/>
      <c r="AJ148" s="29"/>
      <c r="AK148" s="29"/>
      <c r="AL148" s="29"/>
      <c r="AM148" s="29"/>
      <c r="AN148" s="29"/>
    </row>
    <row r="149" spans="1:40" s="70" customFormat="1" hidden="1" outlineLevel="1" x14ac:dyDescent="0.25">
      <c r="A149" s="131">
        <v>12</v>
      </c>
      <c r="B149" s="70" t="s">
        <v>10</v>
      </c>
      <c r="C149" s="257" t="str">
        <f t="shared" si="57"/>
        <v>12Семейная ипотека48</v>
      </c>
      <c r="D149" s="73">
        <v>48</v>
      </c>
      <c r="E149" s="128"/>
      <c r="F149" s="128"/>
      <c r="G149" s="128"/>
      <c r="H149" s="128"/>
      <c r="I149" s="128"/>
      <c r="J149" s="128"/>
      <c r="K149" s="128"/>
      <c r="L149" s="30"/>
      <c r="M149" s="30"/>
      <c r="N149" s="30"/>
      <c r="O149" s="30"/>
      <c r="P149" s="30"/>
      <c r="Q149" s="30"/>
      <c r="R149" s="30"/>
      <c r="S149" s="30"/>
      <c r="T149" s="41"/>
      <c r="U149" s="41"/>
      <c r="V149" s="41"/>
      <c r="W149" s="41"/>
      <c r="Y149" s="78"/>
      <c r="Z149" s="78"/>
      <c r="AA149" s="78"/>
      <c r="AB149" s="78"/>
      <c r="AC149" s="78"/>
      <c r="AD149" s="78"/>
      <c r="AE149" s="78"/>
      <c r="AF149" s="29"/>
      <c r="AG149" s="29"/>
      <c r="AH149" s="29"/>
      <c r="AI149" s="29"/>
      <c r="AJ149" s="29"/>
      <c r="AK149" s="29"/>
      <c r="AL149" s="29"/>
      <c r="AM149" s="29"/>
      <c r="AN149" s="29"/>
    </row>
    <row r="150" spans="1:40" s="70" customFormat="1" hidden="1" outlineLevel="1" x14ac:dyDescent="0.25">
      <c r="A150" s="131">
        <v>12</v>
      </c>
      <c r="B150" s="70" t="s">
        <v>10</v>
      </c>
      <c r="C150" s="257" t="str">
        <f t="shared" si="57"/>
        <v>12Семейная ипотека60</v>
      </c>
      <c r="D150" s="73">
        <v>60</v>
      </c>
      <c r="E150" s="128"/>
      <c r="F150" s="128"/>
      <c r="G150" s="128"/>
      <c r="H150" s="128"/>
      <c r="I150" s="128"/>
      <c r="J150" s="128"/>
      <c r="K150" s="128"/>
      <c r="L150" s="30"/>
      <c r="M150" s="30"/>
      <c r="N150" s="30"/>
      <c r="O150" s="30"/>
      <c r="P150" s="30"/>
      <c r="Q150" s="30"/>
      <c r="R150" s="30"/>
      <c r="S150" s="30"/>
      <c r="T150" s="41"/>
      <c r="U150" s="41"/>
      <c r="V150" s="41"/>
      <c r="W150" s="41"/>
      <c r="Y150" s="78"/>
      <c r="Z150" s="78"/>
      <c r="AA150" s="78"/>
      <c r="AB150" s="78"/>
      <c r="AC150" s="78"/>
      <c r="AD150" s="78"/>
      <c r="AE150" s="78"/>
      <c r="AF150" s="29"/>
      <c r="AG150" s="29"/>
      <c r="AH150" s="29"/>
      <c r="AI150" s="29"/>
      <c r="AJ150" s="29"/>
      <c r="AK150" s="29"/>
      <c r="AL150" s="29"/>
      <c r="AM150" s="29"/>
      <c r="AN150" s="29"/>
    </row>
    <row r="151" spans="1:40" s="70" customFormat="1" hidden="1" outlineLevel="1" x14ac:dyDescent="0.25">
      <c r="A151" s="131">
        <v>12</v>
      </c>
      <c r="B151" s="70" t="s">
        <v>62</v>
      </c>
      <c r="C151" s="257" t="str">
        <f t="shared" si="57"/>
        <v>12Семейная ипотека ДФО6</v>
      </c>
      <c r="D151" s="73">
        <v>6</v>
      </c>
      <c r="E151" s="128"/>
      <c r="F151" s="128"/>
      <c r="G151" s="128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41"/>
      <c r="U151" s="41"/>
      <c r="V151" s="41"/>
      <c r="W151" s="41"/>
      <c r="Y151" s="78"/>
      <c r="Z151" s="78"/>
      <c r="AA151" s="78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</row>
    <row r="152" spans="1:40" s="70" customFormat="1" hidden="1" outlineLevel="1" x14ac:dyDescent="0.25">
      <c r="A152" s="131">
        <v>12</v>
      </c>
      <c r="B152" s="70" t="s">
        <v>62</v>
      </c>
      <c r="C152" s="257" t="str">
        <f t="shared" si="57"/>
        <v>12Семейная ипотека ДФО12</v>
      </c>
      <c r="D152" s="73">
        <v>12</v>
      </c>
      <c r="E152" s="128"/>
      <c r="F152" s="128"/>
      <c r="G152" s="128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41"/>
      <c r="U152" s="41"/>
      <c r="V152" s="41"/>
      <c r="W152" s="41"/>
      <c r="Y152" s="78"/>
      <c r="Z152" s="78"/>
      <c r="AA152" s="78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</row>
    <row r="153" spans="1:40" s="70" customFormat="1" hidden="1" outlineLevel="1" x14ac:dyDescent="0.25">
      <c r="A153" s="131">
        <v>12</v>
      </c>
      <c r="B153" s="70" t="s">
        <v>62</v>
      </c>
      <c r="C153" s="257" t="str">
        <f t="shared" si="57"/>
        <v>12Семейная ипотека ДФО24</v>
      </c>
      <c r="D153" s="73">
        <v>24</v>
      </c>
      <c r="E153" s="128"/>
      <c r="F153" s="128"/>
      <c r="G153" s="128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41"/>
      <c r="U153" s="41"/>
      <c r="V153" s="41"/>
      <c r="W153" s="41"/>
      <c r="Y153" s="78"/>
      <c r="Z153" s="78"/>
      <c r="AA153" s="78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</row>
    <row r="154" spans="1:40" s="70" customFormat="1" hidden="1" outlineLevel="1" x14ac:dyDescent="0.25">
      <c r="A154" s="131">
        <v>12</v>
      </c>
      <c r="B154" s="70" t="s">
        <v>62</v>
      </c>
      <c r="C154" s="257" t="str">
        <f t="shared" si="57"/>
        <v>12Семейная ипотека ДФО36</v>
      </c>
      <c r="D154" s="73">
        <v>36</v>
      </c>
      <c r="E154" s="128"/>
      <c r="F154" s="128"/>
      <c r="G154" s="128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41"/>
      <c r="U154" s="41"/>
      <c r="V154" s="41"/>
      <c r="W154" s="41"/>
      <c r="Y154" s="78"/>
      <c r="Z154" s="78"/>
      <c r="AA154" s="78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</row>
    <row r="155" spans="1:40" s="70" customFormat="1" hidden="1" outlineLevel="1" x14ac:dyDescent="0.25">
      <c r="A155" s="131">
        <v>12</v>
      </c>
      <c r="B155" s="70" t="s">
        <v>62</v>
      </c>
      <c r="C155" s="257" t="str">
        <f t="shared" si="57"/>
        <v>12Семейная ипотека ДФО48</v>
      </c>
      <c r="D155" s="73">
        <v>48</v>
      </c>
      <c r="E155" s="128"/>
      <c r="F155" s="128"/>
      <c r="G155" s="128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41"/>
      <c r="U155" s="41"/>
      <c r="V155" s="41"/>
      <c r="W155" s="41"/>
      <c r="Y155" s="78"/>
      <c r="Z155" s="78"/>
      <c r="AA155" s="78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</row>
    <row r="156" spans="1:40" s="70" customFormat="1" hidden="1" outlineLevel="1" x14ac:dyDescent="0.25">
      <c r="A156" s="131">
        <v>12</v>
      </c>
      <c r="B156" s="70" t="s">
        <v>62</v>
      </c>
      <c r="C156" s="257" t="str">
        <f t="shared" si="57"/>
        <v>12Семейная ипотека ДФО60</v>
      </c>
      <c r="D156" s="73">
        <v>60</v>
      </c>
      <c r="E156" s="128"/>
      <c r="F156" s="128"/>
      <c r="G156" s="128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41"/>
      <c r="U156" s="41"/>
      <c r="V156" s="41"/>
      <c r="W156" s="41"/>
      <c r="Y156" s="78"/>
      <c r="Z156" s="78"/>
      <c r="AA156" s="78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</row>
    <row r="157" spans="1:40" s="70" customFormat="1" hidden="1" outlineLevel="1" x14ac:dyDescent="0.25">
      <c r="A157" s="131">
        <v>12</v>
      </c>
      <c r="B157" s="70" t="s">
        <v>38</v>
      </c>
      <c r="C157" s="257" t="str">
        <f t="shared" si="57"/>
        <v>12Ипотека для IT-специалистов6</v>
      </c>
      <c r="D157" s="73">
        <v>6</v>
      </c>
      <c r="E157" s="128"/>
      <c r="F157" s="128"/>
      <c r="G157" s="128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41"/>
      <c r="U157" s="41"/>
      <c r="V157" s="41"/>
      <c r="W157" s="41"/>
      <c r="Y157" s="78"/>
      <c r="Z157" s="78"/>
      <c r="AA157" s="78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</row>
    <row r="158" spans="1:40" s="70" customFormat="1" hidden="1" outlineLevel="1" x14ac:dyDescent="0.25">
      <c r="A158" s="131">
        <v>12</v>
      </c>
      <c r="B158" s="70" t="s">
        <v>38</v>
      </c>
      <c r="C158" s="257" t="str">
        <f t="shared" si="57"/>
        <v>12Ипотека для IT-специалистов12</v>
      </c>
      <c r="D158" s="73">
        <v>12</v>
      </c>
      <c r="E158" s="128"/>
      <c r="F158" s="128"/>
      <c r="G158" s="128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41"/>
      <c r="U158" s="41"/>
      <c r="V158" s="41"/>
      <c r="W158" s="41"/>
      <c r="Y158" s="78"/>
      <c r="Z158" s="78"/>
      <c r="AA158" s="78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</row>
    <row r="159" spans="1:40" s="70" customFormat="1" hidden="1" outlineLevel="1" x14ac:dyDescent="0.25">
      <c r="A159" s="131">
        <v>12</v>
      </c>
      <c r="B159" s="70" t="s">
        <v>38</v>
      </c>
      <c r="C159" s="257" t="str">
        <f t="shared" si="57"/>
        <v>12Ипотека для IT-специалистов24</v>
      </c>
      <c r="D159" s="73">
        <v>24</v>
      </c>
      <c r="E159" s="128"/>
      <c r="F159" s="128"/>
      <c r="G159" s="128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41"/>
      <c r="U159" s="41"/>
      <c r="V159" s="41"/>
      <c r="W159" s="41"/>
      <c r="Y159" s="78"/>
      <c r="Z159" s="78"/>
      <c r="AA159" s="78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</row>
    <row r="160" spans="1:40" s="70" customFormat="1" hidden="1" outlineLevel="1" x14ac:dyDescent="0.25">
      <c r="A160" s="131">
        <v>12</v>
      </c>
      <c r="B160" s="70" t="s">
        <v>38</v>
      </c>
      <c r="C160" s="257" t="str">
        <f t="shared" si="57"/>
        <v>12Ипотека для IT-специалистов36</v>
      </c>
      <c r="D160" s="73">
        <v>36</v>
      </c>
      <c r="E160" s="128"/>
      <c r="F160" s="128"/>
      <c r="G160" s="128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41"/>
      <c r="U160" s="41"/>
      <c r="V160" s="41"/>
      <c r="W160" s="41"/>
      <c r="Y160" s="78"/>
      <c r="Z160" s="78"/>
      <c r="AA160" s="78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</row>
    <row r="161" spans="1:54" s="70" customFormat="1" hidden="1" outlineLevel="1" x14ac:dyDescent="0.25">
      <c r="A161" s="131">
        <v>12</v>
      </c>
      <c r="B161" s="70" t="s">
        <v>38</v>
      </c>
      <c r="C161" s="257" t="str">
        <f t="shared" si="57"/>
        <v>12Ипотека для IT-специалистов48</v>
      </c>
      <c r="D161" s="73">
        <v>48</v>
      </c>
      <c r="E161" s="128"/>
      <c r="F161" s="128"/>
      <c r="G161" s="128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41"/>
      <c r="U161" s="41"/>
      <c r="V161" s="41"/>
      <c r="W161" s="41"/>
      <c r="Y161" s="78"/>
      <c r="Z161" s="78"/>
      <c r="AA161" s="78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</row>
    <row r="162" spans="1:54" s="70" customFormat="1" hidden="1" outlineLevel="1" x14ac:dyDescent="0.25">
      <c r="A162" s="131">
        <v>12</v>
      </c>
      <c r="B162" s="70" t="s">
        <v>38</v>
      </c>
      <c r="C162" s="257" t="str">
        <f t="shared" si="57"/>
        <v>12Ипотека для IT-специалистов60</v>
      </c>
      <c r="D162" s="73">
        <v>60</v>
      </c>
      <c r="E162" s="128"/>
      <c r="F162" s="128"/>
      <c r="G162" s="128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41"/>
      <c r="U162" s="41"/>
      <c r="V162" s="41"/>
      <c r="W162" s="41"/>
      <c r="Y162" s="78"/>
      <c r="Z162" s="78"/>
      <c r="AA162" s="78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</row>
    <row r="163" spans="1:54" s="70" customFormat="1" hidden="1" outlineLevel="1" x14ac:dyDescent="0.25">
      <c r="A163" s="131"/>
      <c r="C163" s="257"/>
      <c r="D163" s="72">
        <v>1.1200000000000001</v>
      </c>
      <c r="E163" s="74">
        <v>0.5</v>
      </c>
      <c r="F163" s="74">
        <v>1.5</v>
      </c>
      <c r="G163" s="74">
        <v>2</v>
      </c>
      <c r="H163" s="74">
        <v>2.5</v>
      </c>
      <c r="I163" s="74">
        <v>3</v>
      </c>
      <c r="J163" s="74">
        <v>3.5</v>
      </c>
      <c r="K163" s="74">
        <v>4</v>
      </c>
      <c r="L163" s="74">
        <v>4.5</v>
      </c>
      <c r="M163" s="74">
        <v>5</v>
      </c>
      <c r="N163" s="74">
        <v>5.5</v>
      </c>
      <c r="O163" s="74">
        <v>6</v>
      </c>
      <c r="P163" s="74">
        <v>6.5</v>
      </c>
      <c r="Q163" s="74">
        <v>7</v>
      </c>
      <c r="R163" s="74">
        <v>7.5</v>
      </c>
      <c r="S163" s="74">
        <v>8</v>
      </c>
      <c r="T163" s="74">
        <v>8.5</v>
      </c>
      <c r="U163" s="74">
        <v>9</v>
      </c>
      <c r="V163" s="74">
        <v>9.5</v>
      </c>
      <c r="W163" s="74">
        <v>10</v>
      </c>
      <c r="Y163" s="74">
        <v>0.5</v>
      </c>
      <c r="Z163" s="74">
        <v>1</v>
      </c>
      <c r="AA163" s="74">
        <v>1.5</v>
      </c>
      <c r="AB163" s="74">
        <v>2</v>
      </c>
      <c r="AC163" s="74">
        <v>2.5</v>
      </c>
      <c r="AD163" s="74">
        <v>3</v>
      </c>
      <c r="AE163" s="74">
        <v>3.5</v>
      </c>
      <c r="AF163" s="74">
        <v>4</v>
      </c>
      <c r="AG163" s="74">
        <v>4.5</v>
      </c>
      <c r="AH163" s="74">
        <v>5</v>
      </c>
      <c r="AI163" s="74">
        <v>5.5</v>
      </c>
      <c r="AJ163" s="74">
        <v>6</v>
      </c>
      <c r="AK163" s="74">
        <v>6.5</v>
      </c>
      <c r="AL163" s="74">
        <v>7</v>
      </c>
      <c r="AM163" s="74">
        <v>7.5</v>
      </c>
      <c r="AN163" s="74">
        <v>8</v>
      </c>
      <c r="AO163" s="74">
        <v>8.5</v>
      </c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</row>
    <row r="164" spans="1:54" s="79" customFormat="1" hidden="1" outlineLevel="1" x14ac:dyDescent="0.25">
      <c r="A164" s="131">
        <v>12</v>
      </c>
      <c r="B164" s="79" t="s">
        <v>5</v>
      </c>
      <c r="C164" s="257" t="str">
        <f t="shared" si="57"/>
        <v>12Новостройка6</v>
      </c>
      <c r="D164" s="73">
        <v>6</v>
      </c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</row>
    <row r="165" spans="1:54" s="79" customFormat="1" hidden="1" outlineLevel="1" x14ac:dyDescent="0.25">
      <c r="A165" s="131">
        <v>12</v>
      </c>
      <c r="B165" s="79" t="s">
        <v>5</v>
      </c>
      <c r="C165" s="257" t="str">
        <f t="shared" si="57"/>
        <v>12Новостройка12</v>
      </c>
      <c r="D165" s="73">
        <v>12</v>
      </c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</row>
    <row r="166" spans="1:54" s="79" customFormat="1" hidden="1" outlineLevel="1" x14ac:dyDescent="0.25">
      <c r="A166" s="131">
        <v>12</v>
      </c>
      <c r="B166" s="79" t="s">
        <v>5</v>
      </c>
      <c r="C166" s="257" t="str">
        <f t="shared" si="57"/>
        <v>12Новостройка24</v>
      </c>
      <c r="D166" s="73">
        <v>24</v>
      </c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75"/>
      <c r="Q166" s="75"/>
      <c r="R166" s="75"/>
      <c r="S166" s="75"/>
      <c r="T166" s="75"/>
      <c r="U166" s="75"/>
      <c r="V166" s="75"/>
      <c r="W166" s="75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</row>
    <row r="167" spans="1:54" s="79" customFormat="1" hidden="1" outlineLevel="1" x14ac:dyDescent="0.25">
      <c r="A167" s="131">
        <v>12</v>
      </c>
      <c r="B167" s="79" t="s">
        <v>5</v>
      </c>
      <c r="C167" s="257" t="str">
        <f t="shared" si="57"/>
        <v>12Новостройка36</v>
      </c>
      <c r="D167" s="73">
        <v>36</v>
      </c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77"/>
      <c r="P167" s="75"/>
      <c r="Q167" s="75"/>
      <c r="R167" s="75"/>
      <c r="S167" s="75"/>
      <c r="T167" s="75"/>
      <c r="U167" s="75"/>
      <c r="V167" s="75"/>
      <c r="W167" s="75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</row>
    <row r="168" spans="1:54" s="79" customFormat="1" hidden="1" outlineLevel="1" x14ac:dyDescent="0.25">
      <c r="A168" s="131">
        <v>12</v>
      </c>
      <c r="B168" s="79" t="s">
        <v>5</v>
      </c>
      <c r="C168" s="257" t="str">
        <f t="shared" si="57"/>
        <v>12Новостройка48</v>
      </c>
      <c r="D168" s="73">
        <v>48</v>
      </c>
      <c r="E168" s="128"/>
      <c r="F168" s="128"/>
      <c r="G168" s="128"/>
      <c r="H168" s="128"/>
      <c r="I168" s="128"/>
      <c r="J168" s="128"/>
      <c r="K168" s="128"/>
      <c r="L168" s="128"/>
      <c r="M168" s="128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</row>
    <row r="169" spans="1:54" s="79" customFormat="1" hidden="1" outlineLevel="1" x14ac:dyDescent="0.25">
      <c r="A169" s="131">
        <v>12</v>
      </c>
      <c r="B169" s="79" t="s">
        <v>5</v>
      </c>
      <c r="C169" s="257" t="str">
        <f t="shared" si="57"/>
        <v>12Новостройка60</v>
      </c>
      <c r="D169" s="73">
        <v>60</v>
      </c>
      <c r="E169" s="128"/>
      <c r="F169" s="128"/>
      <c r="G169" s="128"/>
      <c r="H169" s="128"/>
      <c r="I169" s="128"/>
      <c r="J169" s="128"/>
      <c r="K169" s="128"/>
      <c r="L169" s="128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Y169" s="77"/>
      <c r="Z169" s="77"/>
      <c r="AA169" s="77"/>
      <c r="AB169" s="77"/>
      <c r="AC169" s="77"/>
      <c r="AD169" s="77"/>
      <c r="AE169" s="77"/>
      <c r="AF169" s="77"/>
      <c r="AG169" s="77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</row>
    <row r="170" spans="1:54" s="70" customFormat="1" hidden="1" outlineLevel="1" x14ac:dyDescent="0.25">
      <c r="A170" s="131"/>
      <c r="C170" s="257"/>
      <c r="D170" s="72">
        <v>1.18</v>
      </c>
      <c r="E170" s="31">
        <v>0.25</v>
      </c>
      <c r="F170" s="31">
        <v>0.75</v>
      </c>
      <c r="G170" s="31">
        <v>1</v>
      </c>
      <c r="H170" s="31">
        <v>1.25</v>
      </c>
      <c r="I170" s="31">
        <v>1.5</v>
      </c>
      <c r="J170" s="31">
        <v>1.7500000000000002</v>
      </c>
      <c r="K170" s="31">
        <v>2</v>
      </c>
      <c r="L170" s="31">
        <v>2.25</v>
      </c>
      <c r="M170" s="31">
        <v>2.5</v>
      </c>
      <c r="N170" s="31">
        <v>2.75</v>
      </c>
      <c r="O170" s="31">
        <v>3</v>
      </c>
      <c r="P170" s="31">
        <v>3.25</v>
      </c>
      <c r="Q170" s="31">
        <v>3.5000000000000004</v>
      </c>
      <c r="R170" s="31">
        <v>3.75</v>
      </c>
      <c r="S170" s="31">
        <v>4</v>
      </c>
      <c r="Y170" s="31">
        <v>0.25</v>
      </c>
      <c r="Z170" s="31">
        <v>0.5</v>
      </c>
      <c r="AA170" s="31">
        <v>0.75</v>
      </c>
      <c r="AB170" s="31">
        <v>1</v>
      </c>
      <c r="AC170" s="31">
        <v>1.25</v>
      </c>
      <c r="AD170" s="31">
        <v>1.5</v>
      </c>
      <c r="AE170" s="31">
        <v>1.7500000000000002</v>
      </c>
      <c r="AF170" s="31">
        <v>2</v>
      </c>
      <c r="AG170" s="31">
        <v>2.25</v>
      </c>
      <c r="AH170" s="31">
        <v>2.5</v>
      </c>
      <c r="AI170" s="31">
        <v>2.75</v>
      </c>
      <c r="AJ170" s="31">
        <v>3</v>
      </c>
      <c r="AK170" s="31">
        <v>3.25</v>
      </c>
      <c r="AL170" s="31">
        <v>3.5000000000000004</v>
      </c>
      <c r="AM170" s="31">
        <v>3.75</v>
      </c>
      <c r="AN170" s="31">
        <v>4</v>
      </c>
    </row>
    <row r="171" spans="1:54" s="70" customFormat="1" hidden="1" outlineLevel="1" x14ac:dyDescent="0.25">
      <c r="A171" s="131">
        <v>18</v>
      </c>
      <c r="B171" s="70" t="s">
        <v>6</v>
      </c>
      <c r="C171" s="257" t="str">
        <f t="shared" si="57"/>
        <v>18Новостройка с господдержкой 20206</v>
      </c>
      <c r="D171" s="73">
        <v>6</v>
      </c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41"/>
      <c r="U171" s="41"/>
      <c r="V171" s="41"/>
      <c r="W171" s="41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29"/>
    </row>
    <row r="172" spans="1:54" s="70" customFormat="1" hidden="1" outlineLevel="1" x14ac:dyDescent="0.25">
      <c r="A172" s="131">
        <v>18</v>
      </c>
      <c r="B172" s="70" t="s">
        <v>6</v>
      </c>
      <c r="C172" s="257" t="str">
        <f t="shared" si="57"/>
        <v>18Новостройка с господдержкой 202012</v>
      </c>
      <c r="D172" s="73">
        <v>12</v>
      </c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41"/>
      <c r="U172" s="41"/>
      <c r="V172" s="41"/>
      <c r="W172" s="41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29"/>
    </row>
    <row r="173" spans="1:54" s="70" customFormat="1" hidden="1" outlineLevel="1" x14ac:dyDescent="0.25">
      <c r="A173" s="131">
        <v>18</v>
      </c>
      <c r="B173" s="70" t="s">
        <v>6</v>
      </c>
      <c r="C173" s="257" t="str">
        <f t="shared" si="57"/>
        <v>18Новостройка с господдержкой 202024</v>
      </c>
      <c r="D173" s="73">
        <v>24</v>
      </c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41"/>
      <c r="U173" s="41"/>
      <c r="V173" s="41"/>
      <c r="W173" s="41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29"/>
    </row>
    <row r="174" spans="1:54" s="70" customFormat="1" hidden="1" outlineLevel="1" x14ac:dyDescent="0.25">
      <c r="A174" s="131">
        <v>18</v>
      </c>
      <c r="B174" s="70" t="s">
        <v>6</v>
      </c>
      <c r="C174" s="257" t="str">
        <f t="shared" si="57"/>
        <v>18Новостройка с господдержкой 202036</v>
      </c>
      <c r="D174" s="73">
        <v>36</v>
      </c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41"/>
      <c r="U174" s="41"/>
      <c r="V174" s="41"/>
      <c r="W174" s="41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29"/>
    </row>
    <row r="175" spans="1:54" s="70" customFormat="1" hidden="1" outlineLevel="1" x14ac:dyDescent="0.25">
      <c r="A175" s="131">
        <v>18</v>
      </c>
      <c r="B175" s="70" t="s">
        <v>6</v>
      </c>
      <c r="C175" s="257" t="str">
        <f t="shared" si="57"/>
        <v>18Новостройка с господдержкой 202048</v>
      </c>
      <c r="D175" s="73">
        <v>48</v>
      </c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30"/>
      <c r="T175" s="41"/>
      <c r="U175" s="41"/>
      <c r="V175" s="41"/>
      <c r="W175" s="41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29"/>
    </row>
    <row r="176" spans="1:54" s="70" customFormat="1" hidden="1" outlineLevel="1" x14ac:dyDescent="0.25">
      <c r="A176" s="131">
        <v>18</v>
      </c>
      <c r="B176" s="70" t="s">
        <v>6</v>
      </c>
      <c r="C176" s="257" t="str">
        <f t="shared" si="57"/>
        <v>18Новостройка с господдержкой 202060</v>
      </c>
      <c r="D176" s="73">
        <v>60</v>
      </c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30"/>
      <c r="T176" s="41"/>
      <c r="U176" s="41"/>
      <c r="V176" s="41"/>
      <c r="W176" s="41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29"/>
    </row>
    <row r="177" spans="1:40" s="70" customFormat="1" hidden="1" outlineLevel="1" x14ac:dyDescent="0.25">
      <c r="A177" s="131">
        <v>18</v>
      </c>
      <c r="B177" s="70" t="s">
        <v>10</v>
      </c>
      <c r="C177" s="257" t="str">
        <f t="shared" si="57"/>
        <v>18Семейная ипотека6</v>
      </c>
      <c r="D177" s="73">
        <v>6</v>
      </c>
      <c r="E177" s="128"/>
      <c r="F177" s="128"/>
      <c r="G177" s="128"/>
      <c r="H177" s="128"/>
      <c r="I177" s="128"/>
      <c r="J177" s="128"/>
      <c r="K177" s="128"/>
      <c r="L177" s="30"/>
      <c r="M177" s="30"/>
      <c r="N177" s="30"/>
      <c r="O177" s="30"/>
      <c r="P177" s="30"/>
      <c r="Q177" s="30"/>
      <c r="R177" s="30"/>
      <c r="S177" s="30"/>
      <c r="T177" s="41"/>
      <c r="U177" s="41"/>
      <c r="V177" s="41"/>
      <c r="W177" s="41"/>
      <c r="Y177" s="78"/>
      <c r="Z177" s="78"/>
      <c r="AA177" s="78"/>
      <c r="AB177" s="78"/>
      <c r="AC177" s="78"/>
      <c r="AD177" s="78"/>
      <c r="AE177" s="78"/>
      <c r="AF177" s="29"/>
      <c r="AG177" s="29"/>
      <c r="AH177" s="29"/>
      <c r="AI177" s="29"/>
      <c r="AJ177" s="29"/>
      <c r="AK177" s="29"/>
      <c r="AL177" s="29"/>
      <c r="AM177" s="29"/>
      <c r="AN177" s="29"/>
    </row>
    <row r="178" spans="1:40" s="70" customFormat="1" hidden="1" outlineLevel="1" x14ac:dyDescent="0.25">
      <c r="A178" s="131">
        <v>18</v>
      </c>
      <c r="B178" s="70" t="s">
        <v>10</v>
      </c>
      <c r="C178" s="257" t="str">
        <f t="shared" si="57"/>
        <v>18Семейная ипотека12</v>
      </c>
      <c r="D178" s="73">
        <v>12</v>
      </c>
      <c r="E178" s="128"/>
      <c r="F178" s="128"/>
      <c r="G178" s="128"/>
      <c r="H178" s="128"/>
      <c r="I178" s="128"/>
      <c r="J178" s="128"/>
      <c r="K178" s="128"/>
      <c r="L178" s="30"/>
      <c r="M178" s="30"/>
      <c r="N178" s="30"/>
      <c r="O178" s="30"/>
      <c r="P178" s="30"/>
      <c r="Q178" s="30"/>
      <c r="R178" s="30"/>
      <c r="S178" s="30"/>
      <c r="T178" s="41"/>
      <c r="U178" s="41"/>
      <c r="V178" s="41"/>
      <c r="W178" s="41"/>
      <c r="Y178" s="78"/>
      <c r="Z178" s="78"/>
      <c r="AA178" s="78"/>
      <c r="AB178" s="78"/>
      <c r="AC178" s="78"/>
      <c r="AD178" s="78"/>
      <c r="AE178" s="78"/>
      <c r="AF178" s="29"/>
      <c r="AG178" s="29"/>
      <c r="AH178" s="29"/>
      <c r="AI178" s="29"/>
      <c r="AJ178" s="29"/>
      <c r="AK178" s="29"/>
      <c r="AL178" s="29"/>
      <c r="AM178" s="29"/>
      <c r="AN178" s="29"/>
    </row>
    <row r="179" spans="1:40" s="70" customFormat="1" hidden="1" outlineLevel="1" x14ac:dyDescent="0.25">
      <c r="A179" s="131">
        <v>18</v>
      </c>
      <c r="B179" s="70" t="s">
        <v>10</v>
      </c>
      <c r="C179" s="257" t="str">
        <f t="shared" si="57"/>
        <v>18Семейная ипотека24</v>
      </c>
      <c r="D179" s="73">
        <v>24</v>
      </c>
      <c r="E179" s="128"/>
      <c r="F179" s="128"/>
      <c r="G179" s="128"/>
      <c r="H179" s="128"/>
      <c r="I179" s="128"/>
      <c r="J179" s="128"/>
      <c r="K179" s="128"/>
      <c r="L179" s="30"/>
      <c r="M179" s="30"/>
      <c r="N179" s="30"/>
      <c r="O179" s="30"/>
      <c r="P179" s="30"/>
      <c r="Q179" s="30"/>
      <c r="R179" s="30"/>
      <c r="S179" s="30"/>
      <c r="T179" s="41"/>
      <c r="U179" s="41"/>
      <c r="V179" s="41"/>
      <c r="W179" s="41"/>
      <c r="Y179" s="78"/>
      <c r="Z179" s="78"/>
      <c r="AA179" s="78"/>
      <c r="AB179" s="78"/>
      <c r="AC179" s="78"/>
      <c r="AD179" s="78"/>
      <c r="AE179" s="78"/>
      <c r="AF179" s="29"/>
      <c r="AG179" s="29"/>
      <c r="AH179" s="29"/>
      <c r="AI179" s="29"/>
      <c r="AJ179" s="29"/>
      <c r="AK179" s="29"/>
      <c r="AL179" s="29"/>
      <c r="AM179" s="29"/>
      <c r="AN179" s="29"/>
    </row>
    <row r="180" spans="1:40" s="70" customFormat="1" hidden="1" outlineLevel="1" x14ac:dyDescent="0.25">
      <c r="A180" s="131">
        <v>18</v>
      </c>
      <c r="B180" s="70" t="s">
        <v>10</v>
      </c>
      <c r="C180" s="257" t="str">
        <f t="shared" si="57"/>
        <v>18Семейная ипотека36</v>
      </c>
      <c r="D180" s="73">
        <v>36</v>
      </c>
      <c r="E180" s="128"/>
      <c r="F180" s="128"/>
      <c r="G180" s="128"/>
      <c r="H180" s="128"/>
      <c r="I180" s="128"/>
      <c r="J180" s="128"/>
      <c r="K180" s="128"/>
      <c r="L180" s="30"/>
      <c r="M180" s="30"/>
      <c r="N180" s="30"/>
      <c r="O180" s="30"/>
      <c r="P180" s="30"/>
      <c r="Q180" s="30"/>
      <c r="R180" s="30"/>
      <c r="S180" s="30"/>
      <c r="T180" s="41"/>
      <c r="U180" s="41"/>
      <c r="V180" s="41"/>
      <c r="W180" s="41"/>
      <c r="Y180" s="78"/>
      <c r="Z180" s="78"/>
      <c r="AA180" s="78"/>
      <c r="AB180" s="78"/>
      <c r="AC180" s="78"/>
      <c r="AD180" s="78"/>
      <c r="AE180" s="78"/>
      <c r="AF180" s="29"/>
      <c r="AG180" s="29"/>
      <c r="AH180" s="29"/>
      <c r="AI180" s="29"/>
      <c r="AJ180" s="29"/>
      <c r="AK180" s="29"/>
      <c r="AL180" s="29"/>
      <c r="AM180" s="29"/>
      <c r="AN180" s="29"/>
    </row>
    <row r="181" spans="1:40" s="70" customFormat="1" hidden="1" outlineLevel="1" x14ac:dyDescent="0.25">
      <c r="A181" s="131">
        <v>18</v>
      </c>
      <c r="B181" s="70" t="s">
        <v>10</v>
      </c>
      <c r="C181" s="257" t="str">
        <f t="shared" si="57"/>
        <v>18Семейная ипотека48</v>
      </c>
      <c r="D181" s="73">
        <v>48</v>
      </c>
      <c r="E181" s="128"/>
      <c r="F181" s="128"/>
      <c r="G181" s="128"/>
      <c r="H181" s="128"/>
      <c r="I181" s="128"/>
      <c r="J181" s="128"/>
      <c r="K181" s="128"/>
      <c r="L181" s="30"/>
      <c r="M181" s="30"/>
      <c r="N181" s="30"/>
      <c r="O181" s="30"/>
      <c r="P181" s="30"/>
      <c r="Q181" s="30"/>
      <c r="R181" s="30"/>
      <c r="S181" s="30"/>
      <c r="T181" s="41"/>
      <c r="U181" s="41"/>
      <c r="V181" s="41"/>
      <c r="W181" s="41"/>
      <c r="Y181" s="78"/>
      <c r="Z181" s="78"/>
      <c r="AA181" s="78"/>
      <c r="AB181" s="78"/>
      <c r="AC181" s="78"/>
      <c r="AD181" s="78"/>
      <c r="AE181" s="78"/>
      <c r="AF181" s="29"/>
      <c r="AG181" s="29"/>
      <c r="AH181" s="29"/>
      <c r="AI181" s="29"/>
      <c r="AJ181" s="29"/>
      <c r="AK181" s="29"/>
      <c r="AL181" s="29"/>
      <c r="AM181" s="29"/>
      <c r="AN181" s="29"/>
    </row>
    <row r="182" spans="1:40" s="70" customFormat="1" hidden="1" outlineLevel="1" x14ac:dyDescent="0.25">
      <c r="A182" s="131">
        <v>18</v>
      </c>
      <c r="B182" s="70" t="s">
        <v>10</v>
      </c>
      <c r="C182" s="257" t="str">
        <f t="shared" si="57"/>
        <v>18Семейная ипотека60</v>
      </c>
      <c r="D182" s="73">
        <v>60</v>
      </c>
      <c r="E182" s="128"/>
      <c r="F182" s="128"/>
      <c r="G182" s="128"/>
      <c r="H182" s="128"/>
      <c r="I182" s="128"/>
      <c r="J182" s="128"/>
      <c r="K182" s="128"/>
      <c r="L182" s="30"/>
      <c r="M182" s="30"/>
      <c r="N182" s="30"/>
      <c r="O182" s="30"/>
      <c r="P182" s="30"/>
      <c r="Q182" s="30"/>
      <c r="R182" s="30"/>
      <c r="S182" s="30"/>
      <c r="T182" s="41"/>
      <c r="U182" s="41"/>
      <c r="V182" s="41"/>
      <c r="W182" s="41"/>
      <c r="Y182" s="78"/>
      <c r="Z182" s="78"/>
      <c r="AA182" s="78"/>
      <c r="AB182" s="78"/>
      <c r="AC182" s="78"/>
      <c r="AD182" s="78"/>
      <c r="AE182" s="78"/>
      <c r="AF182" s="29"/>
      <c r="AG182" s="29"/>
      <c r="AH182" s="29"/>
      <c r="AI182" s="29"/>
      <c r="AJ182" s="29"/>
      <c r="AK182" s="29"/>
      <c r="AL182" s="29"/>
      <c r="AM182" s="29"/>
      <c r="AN182" s="29"/>
    </row>
    <row r="183" spans="1:40" s="70" customFormat="1" hidden="1" outlineLevel="1" x14ac:dyDescent="0.25">
      <c r="A183" s="131">
        <v>18</v>
      </c>
      <c r="B183" s="70" t="s">
        <v>62</v>
      </c>
      <c r="C183" s="257" t="str">
        <f t="shared" si="57"/>
        <v>18Семейная ипотека ДФО6</v>
      </c>
      <c r="D183" s="73">
        <v>6</v>
      </c>
      <c r="E183" s="128"/>
      <c r="F183" s="128"/>
      <c r="G183" s="128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41"/>
      <c r="U183" s="41"/>
      <c r="V183" s="41"/>
      <c r="W183" s="41"/>
      <c r="Y183" s="78"/>
      <c r="Z183" s="78"/>
      <c r="AA183" s="78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</row>
    <row r="184" spans="1:40" s="70" customFormat="1" hidden="1" outlineLevel="1" x14ac:dyDescent="0.25">
      <c r="A184" s="131">
        <v>18</v>
      </c>
      <c r="B184" s="70" t="s">
        <v>62</v>
      </c>
      <c r="C184" s="257" t="str">
        <f t="shared" si="57"/>
        <v>18Семейная ипотека ДФО12</v>
      </c>
      <c r="D184" s="73">
        <v>12</v>
      </c>
      <c r="E184" s="128"/>
      <c r="F184" s="128"/>
      <c r="G184" s="128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41"/>
      <c r="U184" s="41"/>
      <c r="V184" s="41"/>
      <c r="W184" s="41"/>
      <c r="Y184" s="78"/>
      <c r="Z184" s="78"/>
      <c r="AA184" s="78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</row>
    <row r="185" spans="1:40" s="70" customFormat="1" hidden="1" outlineLevel="1" x14ac:dyDescent="0.25">
      <c r="A185" s="131">
        <v>18</v>
      </c>
      <c r="B185" s="70" t="s">
        <v>62</v>
      </c>
      <c r="C185" s="257" t="str">
        <f t="shared" si="57"/>
        <v>18Семейная ипотека ДФО24</v>
      </c>
      <c r="D185" s="73">
        <v>24</v>
      </c>
      <c r="E185" s="128"/>
      <c r="F185" s="128"/>
      <c r="G185" s="128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41"/>
      <c r="U185" s="41"/>
      <c r="V185" s="41"/>
      <c r="W185" s="41"/>
      <c r="Y185" s="78"/>
      <c r="Z185" s="78"/>
      <c r="AA185" s="78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</row>
    <row r="186" spans="1:40" s="70" customFormat="1" hidden="1" outlineLevel="1" x14ac:dyDescent="0.25">
      <c r="A186" s="131">
        <v>18</v>
      </c>
      <c r="B186" s="70" t="s">
        <v>62</v>
      </c>
      <c r="C186" s="257" t="str">
        <f t="shared" si="57"/>
        <v>18Семейная ипотека ДФО36</v>
      </c>
      <c r="D186" s="73">
        <v>36</v>
      </c>
      <c r="E186" s="128"/>
      <c r="F186" s="128"/>
      <c r="G186" s="128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41"/>
      <c r="U186" s="41"/>
      <c r="V186" s="41"/>
      <c r="W186" s="41"/>
      <c r="Y186" s="78"/>
      <c r="Z186" s="78"/>
      <c r="AA186" s="78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</row>
    <row r="187" spans="1:40" s="70" customFormat="1" hidden="1" outlineLevel="1" x14ac:dyDescent="0.25">
      <c r="A187" s="131">
        <v>18</v>
      </c>
      <c r="B187" s="70" t="s">
        <v>62</v>
      </c>
      <c r="C187" s="257" t="str">
        <f t="shared" si="57"/>
        <v>18Семейная ипотека ДФО48</v>
      </c>
      <c r="D187" s="73">
        <v>48</v>
      </c>
      <c r="E187" s="128"/>
      <c r="F187" s="128"/>
      <c r="G187" s="128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41"/>
      <c r="U187" s="41"/>
      <c r="V187" s="41"/>
      <c r="W187" s="41"/>
      <c r="Y187" s="78"/>
      <c r="Z187" s="78"/>
      <c r="AA187" s="78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</row>
    <row r="188" spans="1:40" s="70" customFormat="1" hidden="1" outlineLevel="1" x14ac:dyDescent="0.25">
      <c r="A188" s="131">
        <v>18</v>
      </c>
      <c r="B188" s="70" t="s">
        <v>62</v>
      </c>
      <c r="C188" s="257" t="str">
        <f t="shared" si="57"/>
        <v>18Семейная ипотека ДФО60</v>
      </c>
      <c r="D188" s="73">
        <v>60</v>
      </c>
      <c r="E188" s="128"/>
      <c r="F188" s="128"/>
      <c r="G188" s="128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41"/>
      <c r="U188" s="41"/>
      <c r="V188" s="41"/>
      <c r="W188" s="41"/>
      <c r="Y188" s="78"/>
      <c r="Z188" s="78"/>
      <c r="AA188" s="78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</row>
    <row r="189" spans="1:40" s="70" customFormat="1" hidden="1" outlineLevel="1" x14ac:dyDescent="0.25">
      <c r="A189" s="131">
        <v>18</v>
      </c>
      <c r="B189" s="70" t="s">
        <v>38</v>
      </c>
      <c r="C189" s="257" t="str">
        <f t="shared" si="57"/>
        <v>18Ипотека для IT-специалистов6</v>
      </c>
      <c r="D189" s="73">
        <v>6</v>
      </c>
      <c r="E189" s="128"/>
      <c r="F189" s="128"/>
      <c r="G189" s="128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41"/>
      <c r="U189" s="41"/>
      <c r="V189" s="41"/>
      <c r="W189" s="41"/>
      <c r="Y189" s="78"/>
      <c r="Z189" s="78"/>
      <c r="AA189" s="78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</row>
    <row r="190" spans="1:40" s="70" customFormat="1" hidden="1" outlineLevel="1" x14ac:dyDescent="0.25">
      <c r="A190" s="131">
        <v>18</v>
      </c>
      <c r="B190" s="70" t="s">
        <v>38</v>
      </c>
      <c r="C190" s="257" t="str">
        <f t="shared" si="57"/>
        <v>18Ипотека для IT-специалистов12</v>
      </c>
      <c r="D190" s="73">
        <v>12</v>
      </c>
      <c r="E190" s="128"/>
      <c r="F190" s="128"/>
      <c r="G190" s="128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41"/>
      <c r="U190" s="41"/>
      <c r="V190" s="41"/>
      <c r="W190" s="41"/>
      <c r="Y190" s="78"/>
      <c r="Z190" s="78"/>
      <c r="AA190" s="78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</row>
    <row r="191" spans="1:40" s="70" customFormat="1" hidden="1" outlineLevel="1" x14ac:dyDescent="0.25">
      <c r="A191" s="131">
        <v>18</v>
      </c>
      <c r="B191" s="70" t="s">
        <v>38</v>
      </c>
      <c r="C191" s="257" t="str">
        <f t="shared" si="57"/>
        <v>18Ипотека для IT-специалистов24</v>
      </c>
      <c r="D191" s="73">
        <v>24</v>
      </c>
      <c r="E191" s="128"/>
      <c r="F191" s="128"/>
      <c r="G191" s="128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41"/>
      <c r="U191" s="41"/>
      <c r="V191" s="41"/>
      <c r="W191" s="41"/>
      <c r="Y191" s="78"/>
      <c r="Z191" s="78"/>
      <c r="AA191" s="78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</row>
    <row r="192" spans="1:40" s="70" customFormat="1" hidden="1" outlineLevel="1" x14ac:dyDescent="0.25">
      <c r="A192" s="131">
        <v>18</v>
      </c>
      <c r="B192" s="70" t="s">
        <v>38</v>
      </c>
      <c r="C192" s="257" t="str">
        <f t="shared" si="57"/>
        <v>18Ипотека для IT-специалистов36</v>
      </c>
      <c r="D192" s="73">
        <v>36</v>
      </c>
      <c r="E192" s="128"/>
      <c r="F192" s="128"/>
      <c r="G192" s="128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41"/>
      <c r="U192" s="41"/>
      <c r="V192" s="41"/>
      <c r="W192" s="41"/>
      <c r="Y192" s="78"/>
      <c r="Z192" s="78"/>
      <c r="AA192" s="78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</row>
    <row r="193" spans="1:54" s="70" customFormat="1" hidden="1" outlineLevel="1" x14ac:dyDescent="0.25">
      <c r="A193" s="131">
        <v>18</v>
      </c>
      <c r="B193" s="70" t="s">
        <v>38</v>
      </c>
      <c r="C193" s="257" t="str">
        <f t="shared" si="57"/>
        <v>18Ипотека для IT-специалистов48</v>
      </c>
      <c r="D193" s="73">
        <v>48</v>
      </c>
      <c r="E193" s="128"/>
      <c r="F193" s="128"/>
      <c r="G193" s="128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41"/>
      <c r="U193" s="41"/>
      <c r="V193" s="41"/>
      <c r="W193" s="41"/>
      <c r="Y193" s="78"/>
      <c r="Z193" s="78"/>
      <c r="AA193" s="78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</row>
    <row r="194" spans="1:54" s="70" customFormat="1" ht="14.25" hidden="1" customHeight="1" outlineLevel="1" x14ac:dyDescent="0.25">
      <c r="A194" s="131">
        <v>18</v>
      </c>
      <c r="B194" s="70" t="s">
        <v>38</v>
      </c>
      <c r="C194" s="257" t="str">
        <f t="shared" si="57"/>
        <v>18Ипотека для IT-специалистов60</v>
      </c>
      <c r="D194" s="73">
        <v>60</v>
      </c>
      <c r="E194" s="128"/>
      <c r="F194" s="128"/>
      <c r="G194" s="128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41"/>
      <c r="U194" s="41"/>
      <c r="V194" s="41"/>
      <c r="W194" s="41"/>
      <c r="Y194" s="78"/>
      <c r="Z194" s="78"/>
      <c r="AA194" s="78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</row>
    <row r="195" spans="1:54" s="70" customFormat="1" hidden="1" outlineLevel="1" x14ac:dyDescent="0.25">
      <c r="A195" s="131"/>
      <c r="C195" s="257"/>
      <c r="D195" s="72">
        <v>1.18</v>
      </c>
      <c r="E195" s="74">
        <v>0.5</v>
      </c>
      <c r="F195" s="74">
        <v>1.5</v>
      </c>
      <c r="G195" s="74">
        <v>2</v>
      </c>
      <c r="H195" s="74">
        <v>2.5</v>
      </c>
      <c r="I195" s="74">
        <v>3</v>
      </c>
      <c r="J195" s="74">
        <v>3.5</v>
      </c>
      <c r="K195" s="74">
        <v>4</v>
      </c>
      <c r="L195" s="74">
        <v>4.5</v>
      </c>
      <c r="M195" s="74">
        <v>5</v>
      </c>
      <c r="N195" s="74">
        <v>5.5</v>
      </c>
      <c r="O195" s="74">
        <v>6</v>
      </c>
      <c r="P195" s="74">
        <v>6.5</v>
      </c>
      <c r="Q195" s="74">
        <v>7</v>
      </c>
      <c r="R195" s="74">
        <v>7.5</v>
      </c>
      <c r="S195" s="74">
        <v>8</v>
      </c>
      <c r="T195" s="74">
        <v>8.5</v>
      </c>
      <c r="U195" s="74">
        <v>9</v>
      </c>
      <c r="V195" s="74">
        <v>9.5</v>
      </c>
      <c r="W195" s="74">
        <v>10</v>
      </c>
      <c r="Y195" s="74">
        <v>0.5</v>
      </c>
      <c r="Z195" s="74">
        <v>1</v>
      </c>
      <c r="AA195" s="74">
        <v>1.5</v>
      </c>
      <c r="AB195" s="74">
        <v>2</v>
      </c>
      <c r="AC195" s="74">
        <v>2.5</v>
      </c>
      <c r="AD195" s="74">
        <v>3</v>
      </c>
      <c r="AE195" s="74">
        <v>3.5</v>
      </c>
      <c r="AF195" s="74">
        <v>4</v>
      </c>
      <c r="AG195" s="74">
        <v>4.5</v>
      </c>
      <c r="AH195" s="74">
        <v>5</v>
      </c>
      <c r="AI195" s="74">
        <v>5.5</v>
      </c>
      <c r="AJ195" s="74">
        <v>6</v>
      </c>
      <c r="AK195" s="74">
        <v>6.5</v>
      </c>
      <c r="AL195" s="74">
        <v>7</v>
      </c>
      <c r="AM195" s="74">
        <v>7.5</v>
      </c>
      <c r="AN195" s="74">
        <v>8</v>
      </c>
      <c r="AO195" s="74">
        <v>8.5</v>
      </c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</row>
    <row r="196" spans="1:54" s="79" customFormat="1" hidden="1" outlineLevel="1" x14ac:dyDescent="0.25">
      <c r="A196" s="131">
        <v>18</v>
      </c>
      <c r="B196" s="79" t="s">
        <v>5</v>
      </c>
      <c r="C196" s="257" t="str">
        <f t="shared" si="57"/>
        <v>18Новостройка6</v>
      </c>
      <c r="D196" s="73">
        <v>6</v>
      </c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</row>
    <row r="197" spans="1:54" s="79" customFormat="1" hidden="1" outlineLevel="1" x14ac:dyDescent="0.25">
      <c r="A197" s="131">
        <v>18</v>
      </c>
      <c r="B197" s="79" t="s">
        <v>5</v>
      </c>
      <c r="C197" s="257" t="str">
        <f t="shared" si="57"/>
        <v>18Новостройка12</v>
      </c>
      <c r="D197" s="73">
        <v>12</v>
      </c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</row>
    <row r="198" spans="1:54" s="79" customFormat="1" hidden="1" outlineLevel="1" x14ac:dyDescent="0.25">
      <c r="A198" s="131">
        <v>18</v>
      </c>
      <c r="B198" s="79" t="s">
        <v>5</v>
      </c>
      <c r="C198" s="257" t="str">
        <f t="shared" si="57"/>
        <v>18Новостройка24</v>
      </c>
      <c r="D198" s="73">
        <v>24</v>
      </c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75"/>
      <c r="Q198" s="75"/>
      <c r="R198" s="75"/>
      <c r="S198" s="75"/>
      <c r="T198" s="75"/>
      <c r="U198" s="75"/>
      <c r="V198" s="75"/>
      <c r="W198" s="75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</row>
    <row r="199" spans="1:54" s="79" customFormat="1" hidden="1" outlineLevel="1" x14ac:dyDescent="0.25">
      <c r="A199" s="131">
        <v>18</v>
      </c>
      <c r="B199" s="79" t="s">
        <v>5</v>
      </c>
      <c r="C199" s="257" t="str">
        <f t="shared" si="57"/>
        <v>18Новостройка36</v>
      </c>
      <c r="D199" s="73">
        <v>36</v>
      </c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77"/>
      <c r="P199" s="75"/>
      <c r="Q199" s="75"/>
      <c r="R199" s="75"/>
      <c r="S199" s="75"/>
      <c r="T199" s="75"/>
      <c r="U199" s="75"/>
      <c r="V199" s="75"/>
      <c r="W199" s="75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</row>
    <row r="200" spans="1:54" s="79" customFormat="1" hidden="1" outlineLevel="1" x14ac:dyDescent="0.25">
      <c r="A200" s="131">
        <v>18</v>
      </c>
      <c r="B200" s="79" t="s">
        <v>5</v>
      </c>
      <c r="C200" s="257" t="str">
        <f t="shared" si="57"/>
        <v>18Новостройка48</v>
      </c>
      <c r="D200" s="73">
        <v>48</v>
      </c>
      <c r="E200" s="128"/>
      <c r="F200" s="128"/>
      <c r="G200" s="128"/>
      <c r="H200" s="128"/>
      <c r="I200" s="128"/>
      <c r="J200" s="128"/>
      <c r="K200" s="128"/>
      <c r="L200" s="128"/>
      <c r="M200" s="128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</row>
    <row r="201" spans="1:54" s="79" customFormat="1" hidden="1" outlineLevel="1" x14ac:dyDescent="0.25">
      <c r="A201" s="131">
        <v>18</v>
      </c>
      <c r="B201" s="79" t="s">
        <v>5</v>
      </c>
      <c r="C201" s="257" t="str">
        <f t="shared" ref="C201:C233" si="58">CONCATENATE(A201,B201,D201)</f>
        <v>18Новостройка60</v>
      </c>
      <c r="D201" s="73">
        <v>60</v>
      </c>
      <c r="E201" s="128"/>
      <c r="F201" s="128"/>
      <c r="G201" s="128"/>
      <c r="H201" s="128"/>
      <c r="I201" s="128"/>
      <c r="J201" s="128"/>
      <c r="K201" s="128"/>
      <c r="L201" s="128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Y201" s="77"/>
      <c r="Z201" s="77"/>
      <c r="AA201" s="77"/>
      <c r="AB201" s="77"/>
      <c r="AC201" s="77"/>
      <c r="AD201" s="77"/>
      <c r="AE201" s="77"/>
      <c r="AF201" s="77"/>
      <c r="AG201" s="77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</row>
    <row r="202" spans="1:54" s="70" customFormat="1" hidden="1" outlineLevel="1" x14ac:dyDescent="0.25">
      <c r="A202" s="131"/>
      <c r="C202" s="257"/>
      <c r="D202" s="72">
        <v>1.24</v>
      </c>
      <c r="E202" s="31">
        <v>0.25</v>
      </c>
      <c r="F202" s="31">
        <v>0.75</v>
      </c>
      <c r="G202" s="31">
        <v>1</v>
      </c>
      <c r="H202" s="31">
        <v>1.25</v>
      </c>
      <c r="I202" s="31">
        <v>1.5</v>
      </c>
      <c r="J202" s="31">
        <v>1.7500000000000002</v>
      </c>
      <c r="K202" s="31">
        <v>2</v>
      </c>
      <c r="L202" s="31">
        <v>2.25</v>
      </c>
      <c r="M202" s="31">
        <v>2.5</v>
      </c>
      <c r="N202" s="31">
        <v>2.75</v>
      </c>
      <c r="O202" s="31">
        <v>3</v>
      </c>
      <c r="P202" s="31">
        <v>3.25</v>
      </c>
      <c r="Q202" s="31">
        <v>3.5000000000000004</v>
      </c>
      <c r="R202" s="31">
        <v>3.75</v>
      </c>
      <c r="S202" s="31">
        <v>4</v>
      </c>
      <c r="Y202" s="31">
        <v>0.25</v>
      </c>
      <c r="Z202" s="31">
        <v>0.5</v>
      </c>
      <c r="AA202" s="31">
        <v>0.75</v>
      </c>
      <c r="AB202" s="31">
        <v>1</v>
      </c>
      <c r="AC202" s="31">
        <v>1.25</v>
      </c>
      <c r="AD202" s="31">
        <v>1.5</v>
      </c>
      <c r="AE202" s="31">
        <v>1.7500000000000002</v>
      </c>
      <c r="AF202" s="31">
        <v>2</v>
      </c>
      <c r="AG202" s="31">
        <v>2.25</v>
      </c>
      <c r="AH202" s="31">
        <v>2.5</v>
      </c>
      <c r="AI202" s="31">
        <v>2.75</v>
      </c>
      <c r="AJ202" s="31">
        <v>3</v>
      </c>
      <c r="AK202" s="31">
        <v>3.25</v>
      </c>
      <c r="AL202" s="31">
        <v>3.5000000000000004</v>
      </c>
      <c r="AM202" s="31">
        <v>3.75</v>
      </c>
      <c r="AN202" s="31">
        <v>4</v>
      </c>
    </row>
    <row r="203" spans="1:54" s="70" customFormat="1" hidden="1" outlineLevel="1" x14ac:dyDescent="0.25">
      <c r="A203" s="131">
        <v>24</v>
      </c>
      <c r="B203" s="70" t="s">
        <v>6</v>
      </c>
      <c r="C203" s="257" t="str">
        <f t="shared" si="58"/>
        <v>24Новостройка с господдержкой 20206</v>
      </c>
      <c r="D203" s="73">
        <v>6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41"/>
      <c r="U203" s="41"/>
      <c r="V203" s="41"/>
      <c r="W203" s="41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29"/>
    </row>
    <row r="204" spans="1:54" s="70" customFormat="1" hidden="1" outlineLevel="1" x14ac:dyDescent="0.25">
      <c r="A204" s="131">
        <v>24</v>
      </c>
      <c r="B204" s="70" t="s">
        <v>6</v>
      </c>
      <c r="C204" s="257" t="str">
        <f t="shared" si="58"/>
        <v>24Новостройка с господдержкой 202012</v>
      </c>
      <c r="D204" s="73">
        <v>12</v>
      </c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41"/>
      <c r="U204" s="41"/>
      <c r="V204" s="41"/>
      <c r="W204" s="41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29"/>
    </row>
    <row r="205" spans="1:54" s="70" customFormat="1" hidden="1" outlineLevel="1" x14ac:dyDescent="0.25">
      <c r="A205" s="131">
        <v>24</v>
      </c>
      <c r="B205" s="70" t="s">
        <v>6</v>
      </c>
      <c r="C205" s="257" t="str">
        <f t="shared" si="58"/>
        <v>24Новостройка с господдержкой 202024</v>
      </c>
      <c r="D205" s="73">
        <v>24</v>
      </c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41"/>
      <c r="U205" s="41"/>
      <c r="V205" s="41"/>
      <c r="W205" s="41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29"/>
    </row>
    <row r="206" spans="1:54" s="70" customFormat="1" hidden="1" outlineLevel="1" x14ac:dyDescent="0.25">
      <c r="A206" s="131">
        <v>24</v>
      </c>
      <c r="B206" s="70" t="s">
        <v>6</v>
      </c>
      <c r="C206" s="257" t="str">
        <f t="shared" si="58"/>
        <v>24Новостройка с господдержкой 202036</v>
      </c>
      <c r="D206" s="73">
        <v>36</v>
      </c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41"/>
      <c r="U206" s="41"/>
      <c r="V206" s="41"/>
      <c r="W206" s="41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29"/>
    </row>
    <row r="207" spans="1:54" s="70" customFormat="1" hidden="1" outlineLevel="1" x14ac:dyDescent="0.25">
      <c r="A207" s="131">
        <v>24</v>
      </c>
      <c r="B207" s="70" t="s">
        <v>6</v>
      </c>
      <c r="C207" s="257" t="str">
        <f t="shared" si="58"/>
        <v>24Новостройка с господдержкой 202048</v>
      </c>
      <c r="D207" s="73">
        <v>48</v>
      </c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30"/>
      <c r="T207" s="41"/>
      <c r="U207" s="41"/>
      <c r="V207" s="41"/>
      <c r="W207" s="41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29"/>
    </row>
    <row r="208" spans="1:54" s="70" customFormat="1" hidden="1" outlineLevel="1" x14ac:dyDescent="0.25">
      <c r="A208" s="131">
        <v>24</v>
      </c>
      <c r="B208" s="70" t="s">
        <v>6</v>
      </c>
      <c r="C208" s="257" t="str">
        <f t="shared" si="58"/>
        <v>24Новостройка с господдержкой 202060</v>
      </c>
      <c r="D208" s="73">
        <v>60</v>
      </c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30"/>
      <c r="T208" s="41"/>
      <c r="U208" s="41"/>
      <c r="V208" s="41"/>
      <c r="W208" s="41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29"/>
    </row>
    <row r="209" spans="1:40" s="70" customFormat="1" hidden="1" outlineLevel="1" x14ac:dyDescent="0.25">
      <c r="A209" s="131">
        <v>24</v>
      </c>
      <c r="B209" s="70" t="s">
        <v>10</v>
      </c>
      <c r="C209" s="257" t="str">
        <f t="shared" si="58"/>
        <v>24Семейная ипотека6</v>
      </c>
      <c r="D209" s="73">
        <v>6</v>
      </c>
      <c r="E209" s="128"/>
      <c r="F209" s="128"/>
      <c r="G209" s="128"/>
      <c r="H209" s="128"/>
      <c r="I209" s="128"/>
      <c r="J209" s="128"/>
      <c r="K209" s="128"/>
      <c r="L209" s="30"/>
      <c r="M209" s="30"/>
      <c r="N209" s="30"/>
      <c r="O209" s="30"/>
      <c r="P209" s="30"/>
      <c r="Q209" s="30"/>
      <c r="R209" s="30"/>
      <c r="S209" s="30"/>
      <c r="T209" s="41"/>
      <c r="U209" s="41"/>
      <c r="V209" s="41"/>
      <c r="W209" s="41"/>
      <c r="Y209" s="78"/>
      <c r="Z209" s="78"/>
      <c r="AA209" s="78"/>
      <c r="AB209" s="78"/>
      <c r="AC209" s="78"/>
      <c r="AD209" s="78"/>
      <c r="AE209" s="78"/>
      <c r="AF209" s="29"/>
      <c r="AG209" s="29"/>
      <c r="AH209" s="29"/>
      <c r="AI209" s="29"/>
      <c r="AJ209" s="29"/>
      <c r="AK209" s="29"/>
      <c r="AL209" s="29"/>
      <c r="AM209" s="29"/>
      <c r="AN209" s="29"/>
    </row>
    <row r="210" spans="1:40" s="70" customFormat="1" hidden="1" outlineLevel="1" x14ac:dyDescent="0.25">
      <c r="A210" s="131">
        <v>24</v>
      </c>
      <c r="B210" s="70" t="s">
        <v>10</v>
      </c>
      <c r="C210" s="257" t="str">
        <f t="shared" si="58"/>
        <v>24Семейная ипотека12</v>
      </c>
      <c r="D210" s="73">
        <v>12</v>
      </c>
      <c r="E210" s="128"/>
      <c r="F210" s="128"/>
      <c r="G210" s="128"/>
      <c r="H210" s="128"/>
      <c r="I210" s="128"/>
      <c r="J210" s="128"/>
      <c r="K210" s="128"/>
      <c r="L210" s="30"/>
      <c r="M210" s="30"/>
      <c r="N210" s="30"/>
      <c r="O210" s="30"/>
      <c r="P210" s="30"/>
      <c r="Q210" s="30"/>
      <c r="R210" s="30"/>
      <c r="S210" s="30"/>
      <c r="T210" s="41"/>
      <c r="U210" s="41"/>
      <c r="V210" s="41"/>
      <c r="W210" s="41"/>
      <c r="Y210" s="78"/>
      <c r="Z210" s="78"/>
      <c r="AA210" s="78"/>
      <c r="AB210" s="78"/>
      <c r="AC210" s="78"/>
      <c r="AD210" s="78"/>
      <c r="AE210" s="78"/>
      <c r="AF210" s="29"/>
      <c r="AG210" s="29"/>
      <c r="AH210" s="29"/>
      <c r="AI210" s="29"/>
      <c r="AJ210" s="29"/>
      <c r="AK210" s="29"/>
      <c r="AL210" s="29"/>
      <c r="AM210" s="29"/>
      <c r="AN210" s="29"/>
    </row>
    <row r="211" spans="1:40" s="70" customFormat="1" hidden="1" outlineLevel="1" x14ac:dyDescent="0.25">
      <c r="A211" s="131">
        <v>24</v>
      </c>
      <c r="B211" s="70" t="s">
        <v>10</v>
      </c>
      <c r="C211" s="257" t="str">
        <f t="shared" si="58"/>
        <v>24Семейная ипотека24</v>
      </c>
      <c r="D211" s="73">
        <v>24</v>
      </c>
      <c r="E211" s="128"/>
      <c r="F211" s="128"/>
      <c r="G211" s="128"/>
      <c r="H211" s="128"/>
      <c r="I211" s="128"/>
      <c r="J211" s="128"/>
      <c r="K211" s="128"/>
      <c r="L211" s="30"/>
      <c r="M211" s="30"/>
      <c r="N211" s="30"/>
      <c r="O211" s="30"/>
      <c r="P211" s="30"/>
      <c r="Q211" s="30"/>
      <c r="R211" s="30"/>
      <c r="S211" s="30"/>
      <c r="T211" s="41"/>
      <c r="U211" s="41"/>
      <c r="V211" s="41"/>
      <c r="W211" s="41"/>
      <c r="Y211" s="78"/>
      <c r="Z211" s="78"/>
      <c r="AA211" s="78"/>
      <c r="AB211" s="78"/>
      <c r="AC211" s="78"/>
      <c r="AD211" s="78"/>
      <c r="AE211" s="78"/>
      <c r="AF211" s="29"/>
      <c r="AG211" s="29"/>
      <c r="AH211" s="29"/>
      <c r="AI211" s="29"/>
      <c r="AJ211" s="29"/>
      <c r="AK211" s="29"/>
      <c r="AL211" s="29"/>
      <c r="AM211" s="29"/>
      <c r="AN211" s="29"/>
    </row>
    <row r="212" spans="1:40" s="70" customFormat="1" hidden="1" outlineLevel="1" x14ac:dyDescent="0.25">
      <c r="A212" s="131">
        <v>24</v>
      </c>
      <c r="B212" s="70" t="s">
        <v>10</v>
      </c>
      <c r="C212" s="257" t="str">
        <f t="shared" si="58"/>
        <v>24Семейная ипотека36</v>
      </c>
      <c r="D212" s="73">
        <v>36</v>
      </c>
      <c r="E212" s="128"/>
      <c r="F212" s="128"/>
      <c r="G212" s="128"/>
      <c r="H212" s="128"/>
      <c r="I212" s="128"/>
      <c r="J212" s="128"/>
      <c r="K212" s="128"/>
      <c r="L212" s="30"/>
      <c r="M212" s="30"/>
      <c r="N212" s="30"/>
      <c r="O212" s="30"/>
      <c r="P212" s="30"/>
      <c r="Q212" s="30"/>
      <c r="R212" s="30"/>
      <c r="S212" s="30"/>
      <c r="T212" s="41"/>
      <c r="U212" s="41"/>
      <c r="V212" s="41"/>
      <c r="W212" s="41"/>
      <c r="Y212" s="78"/>
      <c r="Z212" s="78"/>
      <c r="AA212" s="78"/>
      <c r="AB212" s="78"/>
      <c r="AC212" s="78"/>
      <c r="AD212" s="78"/>
      <c r="AE212" s="78"/>
      <c r="AF212" s="29"/>
      <c r="AG212" s="29"/>
      <c r="AH212" s="29"/>
      <c r="AI212" s="29"/>
      <c r="AJ212" s="29"/>
      <c r="AK212" s="29"/>
      <c r="AL212" s="29"/>
      <c r="AM212" s="29"/>
      <c r="AN212" s="29"/>
    </row>
    <row r="213" spans="1:40" s="70" customFormat="1" hidden="1" outlineLevel="1" x14ac:dyDescent="0.25">
      <c r="A213" s="131">
        <v>24</v>
      </c>
      <c r="B213" s="70" t="s">
        <v>10</v>
      </c>
      <c r="C213" s="257" t="str">
        <f t="shared" si="58"/>
        <v>24Семейная ипотека48</v>
      </c>
      <c r="D213" s="73">
        <v>48</v>
      </c>
      <c r="E213" s="128"/>
      <c r="F213" s="128"/>
      <c r="G213" s="128"/>
      <c r="H213" s="128"/>
      <c r="I213" s="128"/>
      <c r="J213" s="128"/>
      <c r="K213" s="128"/>
      <c r="L213" s="30"/>
      <c r="M213" s="30"/>
      <c r="N213" s="30"/>
      <c r="O213" s="30"/>
      <c r="P213" s="30"/>
      <c r="Q213" s="30"/>
      <c r="R213" s="30"/>
      <c r="S213" s="30"/>
      <c r="T213" s="41"/>
      <c r="U213" s="41"/>
      <c r="V213" s="41"/>
      <c r="W213" s="41"/>
      <c r="Y213" s="78"/>
      <c r="Z213" s="78"/>
      <c r="AA213" s="78"/>
      <c r="AB213" s="78"/>
      <c r="AC213" s="78"/>
      <c r="AD213" s="78"/>
      <c r="AE213" s="78"/>
      <c r="AF213" s="29"/>
      <c r="AG213" s="29"/>
      <c r="AH213" s="29"/>
      <c r="AI213" s="29"/>
      <c r="AJ213" s="29"/>
      <c r="AK213" s="29"/>
      <c r="AL213" s="29"/>
      <c r="AM213" s="29"/>
      <c r="AN213" s="29"/>
    </row>
    <row r="214" spans="1:40" s="70" customFormat="1" hidden="1" outlineLevel="1" x14ac:dyDescent="0.25">
      <c r="A214" s="131">
        <v>24</v>
      </c>
      <c r="B214" s="70" t="s">
        <v>10</v>
      </c>
      <c r="C214" s="257" t="str">
        <f t="shared" si="58"/>
        <v>24Семейная ипотека60</v>
      </c>
      <c r="D214" s="73">
        <v>60</v>
      </c>
      <c r="E214" s="128"/>
      <c r="F214" s="128"/>
      <c r="G214" s="128"/>
      <c r="H214" s="128"/>
      <c r="I214" s="128"/>
      <c r="J214" s="128"/>
      <c r="K214" s="128"/>
      <c r="L214" s="30"/>
      <c r="M214" s="30"/>
      <c r="N214" s="30"/>
      <c r="O214" s="30"/>
      <c r="P214" s="30"/>
      <c r="Q214" s="30"/>
      <c r="R214" s="30"/>
      <c r="S214" s="30"/>
      <c r="T214" s="41"/>
      <c r="U214" s="41"/>
      <c r="V214" s="41"/>
      <c r="W214" s="41"/>
      <c r="Y214" s="78"/>
      <c r="Z214" s="78"/>
      <c r="AA214" s="78"/>
      <c r="AB214" s="78"/>
      <c r="AC214" s="78"/>
      <c r="AD214" s="78"/>
      <c r="AE214" s="78"/>
      <c r="AF214" s="29"/>
      <c r="AG214" s="29"/>
      <c r="AH214" s="29"/>
      <c r="AI214" s="29"/>
      <c r="AJ214" s="29"/>
      <c r="AK214" s="29"/>
      <c r="AL214" s="29"/>
      <c r="AM214" s="29"/>
      <c r="AN214" s="29"/>
    </row>
    <row r="215" spans="1:40" s="70" customFormat="1" hidden="1" outlineLevel="1" x14ac:dyDescent="0.25">
      <c r="A215" s="131">
        <v>24</v>
      </c>
      <c r="B215" s="70" t="s">
        <v>62</v>
      </c>
      <c r="C215" s="257" t="str">
        <f t="shared" si="58"/>
        <v>24Семейная ипотека ДФО6</v>
      </c>
      <c r="D215" s="73">
        <v>6</v>
      </c>
      <c r="E215" s="128"/>
      <c r="F215" s="128"/>
      <c r="G215" s="128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41"/>
      <c r="U215" s="41"/>
      <c r="V215" s="41"/>
      <c r="W215" s="41"/>
      <c r="Y215" s="78"/>
      <c r="Z215" s="78"/>
      <c r="AA215" s="78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</row>
    <row r="216" spans="1:40" s="70" customFormat="1" hidden="1" outlineLevel="1" x14ac:dyDescent="0.25">
      <c r="A216" s="131">
        <v>24</v>
      </c>
      <c r="B216" s="70" t="s">
        <v>62</v>
      </c>
      <c r="C216" s="257" t="str">
        <f t="shared" si="58"/>
        <v>24Семейная ипотека ДФО12</v>
      </c>
      <c r="D216" s="73">
        <v>12</v>
      </c>
      <c r="E216" s="128"/>
      <c r="F216" s="128"/>
      <c r="G216" s="128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41"/>
      <c r="U216" s="41"/>
      <c r="V216" s="41"/>
      <c r="W216" s="41"/>
      <c r="Y216" s="78"/>
      <c r="Z216" s="78"/>
      <c r="AA216" s="78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</row>
    <row r="217" spans="1:40" s="70" customFormat="1" hidden="1" outlineLevel="1" x14ac:dyDescent="0.25">
      <c r="A217" s="131">
        <v>24</v>
      </c>
      <c r="B217" s="70" t="s">
        <v>62</v>
      </c>
      <c r="C217" s="257" t="str">
        <f t="shared" si="58"/>
        <v>24Семейная ипотека ДФО24</v>
      </c>
      <c r="D217" s="73">
        <v>24</v>
      </c>
      <c r="E217" s="128"/>
      <c r="F217" s="128"/>
      <c r="G217" s="128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41"/>
      <c r="U217" s="41"/>
      <c r="V217" s="41"/>
      <c r="W217" s="41"/>
      <c r="Y217" s="78"/>
      <c r="Z217" s="78"/>
      <c r="AA217" s="78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</row>
    <row r="218" spans="1:40" s="70" customFormat="1" hidden="1" outlineLevel="1" x14ac:dyDescent="0.25">
      <c r="A218" s="131">
        <v>24</v>
      </c>
      <c r="B218" s="70" t="s">
        <v>62</v>
      </c>
      <c r="C218" s="257" t="str">
        <f t="shared" si="58"/>
        <v>24Семейная ипотека ДФО36</v>
      </c>
      <c r="D218" s="73">
        <v>36</v>
      </c>
      <c r="E218" s="128"/>
      <c r="F218" s="128"/>
      <c r="G218" s="128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41"/>
      <c r="U218" s="41"/>
      <c r="V218" s="41"/>
      <c r="W218" s="41"/>
      <c r="Y218" s="78"/>
      <c r="Z218" s="78"/>
      <c r="AA218" s="78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</row>
    <row r="219" spans="1:40" s="70" customFormat="1" hidden="1" outlineLevel="1" x14ac:dyDescent="0.25">
      <c r="A219" s="131">
        <v>24</v>
      </c>
      <c r="B219" s="70" t="s">
        <v>62</v>
      </c>
      <c r="C219" s="257" t="str">
        <f t="shared" si="58"/>
        <v>24Семейная ипотека ДФО48</v>
      </c>
      <c r="D219" s="73">
        <v>48</v>
      </c>
      <c r="E219" s="128"/>
      <c r="F219" s="128"/>
      <c r="G219" s="128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41"/>
      <c r="U219" s="41"/>
      <c r="V219" s="41"/>
      <c r="W219" s="41"/>
      <c r="Y219" s="78"/>
      <c r="Z219" s="78"/>
      <c r="AA219" s="78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</row>
    <row r="220" spans="1:40" s="70" customFormat="1" hidden="1" outlineLevel="1" x14ac:dyDescent="0.25">
      <c r="A220" s="131">
        <v>24</v>
      </c>
      <c r="B220" s="70" t="s">
        <v>62</v>
      </c>
      <c r="C220" s="257" t="str">
        <f t="shared" si="58"/>
        <v>24Семейная ипотека ДФО60</v>
      </c>
      <c r="D220" s="73">
        <v>60</v>
      </c>
      <c r="E220" s="128"/>
      <c r="F220" s="128"/>
      <c r="G220" s="128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41"/>
      <c r="U220" s="41"/>
      <c r="V220" s="41"/>
      <c r="W220" s="41"/>
      <c r="Y220" s="78"/>
      <c r="Z220" s="78"/>
      <c r="AA220" s="78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</row>
    <row r="221" spans="1:40" s="70" customFormat="1" hidden="1" outlineLevel="1" x14ac:dyDescent="0.25">
      <c r="A221" s="131">
        <v>24</v>
      </c>
      <c r="B221" s="70" t="s">
        <v>38</v>
      </c>
      <c r="C221" s="257" t="str">
        <f t="shared" si="58"/>
        <v>24Ипотека для IT-специалистов6</v>
      </c>
      <c r="D221" s="73">
        <v>6</v>
      </c>
      <c r="E221" s="128"/>
      <c r="F221" s="128"/>
      <c r="G221" s="128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41"/>
      <c r="U221" s="41"/>
      <c r="V221" s="41"/>
      <c r="W221" s="41"/>
      <c r="Y221" s="78"/>
      <c r="Z221" s="78"/>
      <c r="AA221" s="78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</row>
    <row r="222" spans="1:40" s="70" customFormat="1" hidden="1" outlineLevel="1" x14ac:dyDescent="0.25">
      <c r="A222" s="131">
        <v>24</v>
      </c>
      <c r="B222" s="70" t="s">
        <v>38</v>
      </c>
      <c r="C222" s="257" t="str">
        <f t="shared" si="58"/>
        <v>24Ипотека для IT-специалистов12</v>
      </c>
      <c r="D222" s="73">
        <v>12</v>
      </c>
      <c r="E222" s="128"/>
      <c r="F222" s="128"/>
      <c r="G222" s="128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41"/>
      <c r="U222" s="41"/>
      <c r="V222" s="41"/>
      <c r="W222" s="41"/>
      <c r="Y222" s="78"/>
      <c r="Z222" s="78"/>
      <c r="AA222" s="78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</row>
    <row r="223" spans="1:40" s="70" customFormat="1" hidden="1" outlineLevel="1" x14ac:dyDescent="0.25">
      <c r="A223" s="131">
        <v>24</v>
      </c>
      <c r="B223" s="70" t="s">
        <v>38</v>
      </c>
      <c r="C223" s="257" t="str">
        <f t="shared" si="58"/>
        <v>24Ипотека для IT-специалистов24</v>
      </c>
      <c r="D223" s="73">
        <v>24</v>
      </c>
      <c r="E223" s="128"/>
      <c r="F223" s="128"/>
      <c r="G223" s="128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41"/>
      <c r="U223" s="41"/>
      <c r="V223" s="41"/>
      <c r="W223" s="41"/>
      <c r="Y223" s="78"/>
      <c r="Z223" s="78"/>
      <c r="AA223" s="78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</row>
    <row r="224" spans="1:40" s="70" customFormat="1" hidden="1" outlineLevel="1" x14ac:dyDescent="0.25">
      <c r="A224" s="131">
        <v>24</v>
      </c>
      <c r="B224" s="70" t="s">
        <v>38</v>
      </c>
      <c r="C224" s="257" t="str">
        <f t="shared" si="58"/>
        <v>24Ипотека для IT-специалистов36</v>
      </c>
      <c r="D224" s="73">
        <v>36</v>
      </c>
      <c r="E224" s="128"/>
      <c r="F224" s="128"/>
      <c r="G224" s="128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41"/>
      <c r="U224" s="41"/>
      <c r="V224" s="41"/>
      <c r="W224" s="41"/>
      <c r="Y224" s="78"/>
      <c r="Z224" s="78"/>
      <c r="AA224" s="78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</row>
    <row r="225" spans="1:55" s="70" customFormat="1" hidden="1" outlineLevel="1" x14ac:dyDescent="0.25">
      <c r="A225" s="131">
        <v>24</v>
      </c>
      <c r="B225" s="70" t="s">
        <v>38</v>
      </c>
      <c r="C225" s="257" t="str">
        <f t="shared" si="58"/>
        <v>24Ипотека для IT-специалистов48</v>
      </c>
      <c r="D225" s="73">
        <v>48</v>
      </c>
      <c r="E225" s="128"/>
      <c r="F225" s="128"/>
      <c r="G225" s="128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41"/>
      <c r="U225" s="41"/>
      <c r="V225" s="41"/>
      <c r="W225" s="41"/>
      <c r="Y225" s="78"/>
      <c r="Z225" s="78"/>
      <c r="AA225" s="78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</row>
    <row r="226" spans="1:55" s="70" customFormat="1" ht="14.25" hidden="1" customHeight="1" outlineLevel="1" x14ac:dyDescent="0.25">
      <c r="A226" s="131">
        <v>24</v>
      </c>
      <c r="B226" s="70" t="s">
        <v>38</v>
      </c>
      <c r="C226" s="257" t="str">
        <f t="shared" si="58"/>
        <v>24Ипотека для IT-специалистов60</v>
      </c>
      <c r="D226" s="73">
        <v>60</v>
      </c>
      <c r="E226" s="128"/>
      <c r="F226" s="128"/>
      <c r="G226" s="128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41"/>
      <c r="U226" s="41"/>
      <c r="V226" s="41"/>
      <c r="W226" s="41"/>
      <c r="Y226" s="78"/>
      <c r="Z226" s="78"/>
      <c r="AA226" s="78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</row>
    <row r="227" spans="1:55" s="70" customFormat="1" hidden="1" outlineLevel="1" x14ac:dyDescent="0.25">
      <c r="A227" s="131"/>
      <c r="C227" s="257"/>
      <c r="D227" s="72">
        <v>1.24</v>
      </c>
      <c r="E227" s="74">
        <v>0.5</v>
      </c>
      <c r="F227" s="74">
        <v>1.5</v>
      </c>
      <c r="G227" s="74">
        <v>2</v>
      </c>
      <c r="H227" s="74">
        <v>2.5</v>
      </c>
      <c r="I227" s="74">
        <v>3</v>
      </c>
      <c r="J227" s="74">
        <v>3.5</v>
      </c>
      <c r="K227" s="74">
        <v>4</v>
      </c>
      <c r="L227" s="74">
        <v>4.5</v>
      </c>
      <c r="M227" s="74">
        <v>5</v>
      </c>
      <c r="N227" s="74">
        <v>5.5</v>
      </c>
      <c r="O227" s="74">
        <v>6</v>
      </c>
      <c r="P227" s="74">
        <v>6.5</v>
      </c>
      <c r="Q227" s="74">
        <v>7</v>
      </c>
      <c r="R227" s="74">
        <v>7.5</v>
      </c>
      <c r="S227" s="74">
        <v>8</v>
      </c>
      <c r="T227" s="74">
        <v>8.5</v>
      </c>
      <c r="U227" s="74">
        <v>9</v>
      </c>
      <c r="V227" s="74">
        <v>9.5</v>
      </c>
      <c r="W227" s="74">
        <v>10</v>
      </c>
      <c r="Y227" s="74">
        <v>0.5</v>
      </c>
      <c r="Z227" s="74">
        <v>1</v>
      </c>
      <c r="AA227" s="74">
        <v>1.5</v>
      </c>
      <c r="AB227" s="74">
        <v>2</v>
      </c>
      <c r="AC227" s="74">
        <v>2.5</v>
      </c>
      <c r="AD227" s="74">
        <v>3</v>
      </c>
      <c r="AE227" s="74">
        <v>3.5</v>
      </c>
      <c r="AF227" s="74">
        <v>4</v>
      </c>
      <c r="AG227" s="74">
        <v>4.5</v>
      </c>
      <c r="AH227" s="74">
        <v>5</v>
      </c>
      <c r="AI227" s="74">
        <v>5.5</v>
      </c>
      <c r="AJ227" s="74">
        <v>6</v>
      </c>
      <c r="AK227" s="74">
        <v>6.5</v>
      </c>
      <c r="AL227" s="74">
        <v>7</v>
      </c>
      <c r="AM227" s="74">
        <v>7.5</v>
      </c>
      <c r="AN227" s="74">
        <v>8</v>
      </c>
      <c r="AO227" s="74">
        <v>8.5</v>
      </c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</row>
    <row r="228" spans="1:55" s="79" customFormat="1" hidden="1" outlineLevel="1" x14ac:dyDescent="0.25">
      <c r="A228" s="131">
        <v>24</v>
      </c>
      <c r="B228" s="79" t="s">
        <v>5</v>
      </c>
      <c r="C228" s="257" t="str">
        <f t="shared" si="58"/>
        <v>24Новостройка6</v>
      </c>
      <c r="D228" s="73">
        <v>6</v>
      </c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130"/>
    </row>
    <row r="229" spans="1:55" s="79" customFormat="1" hidden="1" outlineLevel="1" x14ac:dyDescent="0.25">
      <c r="A229" s="131">
        <v>24</v>
      </c>
      <c r="B229" s="79" t="s">
        <v>5</v>
      </c>
      <c r="C229" s="257" t="str">
        <f t="shared" si="58"/>
        <v>24Новостройка12</v>
      </c>
      <c r="D229" s="73">
        <v>12</v>
      </c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130"/>
    </row>
    <row r="230" spans="1:55" s="79" customFormat="1" hidden="1" outlineLevel="1" x14ac:dyDescent="0.25">
      <c r="A230" s="131">
        <v>24</v>
      </c>
      <c r="B230" s="79" t="s">
        <v>5</v>
      </c>
      <c r="C230" s="257" t="str">
        <f t="shared" si="58"/>
        <v>24Новостройка24</v>
      </c>
      <c r="D230" s="73">
        <v>24</v>
      </c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75"/>
      <c r="Q230" s="75"/>
      <c r="R230" s="75"/>
      <c r="S230" s="75"/>
      <c r="T230" s="75"/>
      <c r="U230" s="75"/>
      <c r="V230" s="75"/>
      <c r="W230" s="75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130"/>
    </row>
    <row r="231" spans="1:55" s="79" customFormat="1" hidden="1" outlineLevel="1" x14ac:dyDescent="0.25">
      <c r="A231" s="131">
        <v>24</v>
      </c>
      <c r="B231" s="79" t="s">
        <v>5</v>
      </c>
      <c r="C231" s="257" t="str">
        <f t="shared" si="58"/>
        <v>24Новостройка36</v>
      </c>
      <c r="D231" s="73">
        <v>36</v>
      </c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77"/>
      <c r="P231" s="75"/>
      <c r="Q231" s="75"/>
      <c r="R231" s="75"/>
      <c r="S231" s="75"/>
      <c r="T231" s="75"/>
      <c r="U231" s="75"/>
      <c r="V231" s="75"/>
      <c r="W231" s="75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130"/>
    </row>
    <row r="232" spans="1:55" s="79" customFormat="1" hidden="1" outlineLevel="1" x14ac:dyDescent="0.25">
      <c r="A232" s="131">
        <v>24</v>
      </c>
      <c r="B232" s="79" t="s">
        <v>5</v>
      </c>
      <c r="C232" s="257" t="str">
        <f t="shared" si="58"/>
        <v>24Новостройка48</v>
      </c>
      <c r="D232" s="73">
        <v>48</v>
      </c>
      <c r="E232" s="128"/>
      <c r="F232" s="128"/>
      <c r="G232" s="128"/>
      <c r="H232" s="128"/>
      <c r="I232" s="128"/>
      <c r="J232" s="128"/>
      <c r="K232" s="128"/>
      <c r="L232" s="128"/>
      <c r="M232" s="128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130"/>
    </row>
    <row r="233" spans="1:55" s="79" customFormat="1" hidden="1" outlineLevel="1" x14ac:dyDescent="0.25">
      <c r="A233" s="131">
        <v>24</v>
      </c>
      <c r="B233" s="79" t="s">
        <v>5</v>
      </c>
      <c r="C233" s="257" t="str">
        <f t="shared" si="58"/>
        <v>24Новостройка60</v>
      </c>
      <c r="D233" s="73">
        <v>60</v>
      </c>
      <c r="E233" s="128"/>
      <c r="F233" s="128"/>
      <c r="G233" s="128"/>
      <c r="H233" s="128"/>
      <c r="I233" s="128"/>
      <c r="J233" s="128"/>
      <c r="K233" s="128"/>
      <c r="L233" s="128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Y233" s="77"/>
      <c r="Z233" s="77"/>
      <c r="AA233" s="77"/>
      <c r="AB233" s="77"/>
      <c r="AC233" s="77"/>
      <c r="AD233" s="77"/>
      <c r="AE233" s="77"/>
      <c r="AF233" s="77"/>
      <c r="AG233" s="77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130"/>
    </row>
    <row r="234" spans="1:55" s="70" customFormat="1" x14ac:dyDescent="0.25">
      <c r="C234" s="257"/>
      <c r="E234" s="41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41"/>
      <c r="V234" s="41"/>
      <c r="W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</row>
    <row r="235" spans="1:55" s="70" customFormat="1" x14ac:dyDescent="0.25">
      <c r="C235" s="257"/>
      <c r="E235" s="41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41"/>
      <c r="V235" s="41"/>
      <c r="W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</row>
    <row r="236" spans="1:55" s="70" customFormat="1" x14ac:dyDescent="0.25">
      <c r="C236" s="257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</row>
    <row r="237" spans="1:55" s="70" customFormat="1" x14ac:dyDescent="0.25">
      <c r="C237" s="257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</row>
    <row r="238" spans="1:55" s="70" customFormat="1" x14ac:dyDescent="0.25">
      <c r="C238" s="257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</row>
    <row r="239" spans="1:55" s="70" customFormat="1" x14ac:dyDescent="0.25">
      <c r="C239" s="257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</row>
    <row r="240" spans="1:55" s="70" customFormat="1" x14ac:dyDescent="0.25">
      <c r="C240" s="257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</row>
    <row r="241" spans="3:55" s="70" customFormat="1" x14ac:dyDescent="0.25">
      <c r="C241" s="257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</row>
    <row r="242" spans="3:55" s="70" customFormat="1" x14ac:dyDescent="0.25">
      <c r="C242" s="257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</row>
    <row r="243" spans="3:55" s="70" customFormat="1" x14ac:dyDescent="0.25">
      <c r="C243" s="257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</row>
    <row r="244" spans="3:55" s="70" customFormat="1" x14ac:dyDescent="0.25">
      <c r="C244" s="257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</row>
    <row r="245" spans="3:55" s="70" customFormat="1" x14ac:dyDescent="0.25">
      <c r="C245" s="257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</row>
    <row r="246" spans="3:55" s="70" customFormat="1" x14ac:dyDescent="0.25">
      <c r="C246" s="257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</row>
    <row r="247" spans="3:55" s="70" customFormat="1" x14ac:dyDescent="0.25">
      <c r="C247" s="257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</row>
    <row r="248" spans="3:55" s="70" customFormat="1" x14ac:dyDescent="0.25">
      <c r="C248" s="257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</row>
    <row r="249" spans="3:55" s="70" customFormat="1" x14ac:dyDescent="0.25">
      <c r="C249" s="257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</row>
    <row r="250" spans="3:55" s="70" customFormat="1" x14ac:dyDescent="0.25">
      <c r="C250" s="257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</row>
    <row r="251" spans="3:55" s="70" customFormat="1" x14ac:dyDescent="0.25">
      <c r="C251" s="257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</row>
    <row r="252" spans="3:55" s="70" customFormat="1" x14ac:dyDescent="0.25">
      <c r="C252" s="257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</row>
    <row r="253" spans="3:55" s="70" customFormat="1" x14ac:dyDescent="0.25">
      <c r="C253" s="257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</row>
    <row r="254" spans="3:55" s="70" customFormat="1" x14ac:dyDescent="0.25">
      <c r="C254" s="257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</row>
    <row r="255" spans="3:55" s="70" customFormat="1" x14ac:dyDescent="0.25">
      <c r="C255" s="257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</row>
    <row r="256" spans="3:55" s="70" customFormat="1" x14ac:dyDescent="0.25">
      <c r="C256" s="257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</row>
    <row r="257" spans="3:20" s="70" customFormat="1" x14ac:dyDescent="0.25">
      <c r="C257" s="257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</row>
    <row r="258" spans="3:20" s="70" customFormat="1" x14ac:dyDescent="0.25">
      <c r="C258" s="257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</row>
    <row r="259" spans="3:20" s="70" customFormat="1" x14ac:dyDescent="0.25">
      <c r="C259" s="257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</row>
    <row r="260" spans="3:20" s="70" customFormat="1" x14ac:dyDescent="0.25">
      <c r="C260" s="257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</row>
    <row r="261" spans="3:20" s="70" customFormat="1" x14ac:dyDescent="0.25">
      <c r="C261" s="257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</row>
    <row r="262" spans="3:20" s="70" customFormat="1" x14ac:dyDescent="0.25">
      <c r="C262" s="257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</row>
    <row r="263" spans="3:20" s="70" customFormat="1" x14ac:dyDescent="0.25">
      <c r="C263" s="257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</row>
    <row r="264" spans="3:20" s="70" customFormat="1" x14ac:dyDescent="0.25">
      <c r="C264" s="257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</row>
    <row r="265" spans="3:20" s="70" customFormat="1" x14ac:dyDescent="0.25">
      <c r="C265" s="257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</row>
    <row r="266" spans="3:20" s="70" customFormat="1" x14ac:dyDescent="0.25">
      <c r="C266" s="257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</row>
    <row r="267" spans="3:20" s="70" customFormat="1" x14ac:dyDescent="0.25">
      <c r="C267" s="257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</row>
    <row r="268" spans="3:20" s="70" customFormat="1" x14ac:dyDescent="0.25">
      <c r="C268" s="257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</row>
    <row r="269" spans="3:20" s="70" customFormat="1" x14ac:dyDescent="0.25">
      <c r="C269" s="257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</row>
    <row r="270" spans="3:20" s="70" customFormat="1" x14ac:dyDescent="0.25">
      <c r="C270" s="257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</row>
    <row r="271" spans="3:20" x14ac:dyDescent="0.25"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3:20" x14ac:dyDescent="0.25"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6:20" x14ac:dyDescent="0.25"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6:20" x14ac:dyDescent="0.25"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6:20" x14ac:dyDescent="0.25"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6:20" x14ac:dyDescent="0.25"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6:20" x14ac:dyDescent="0.25"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6:20" x14ac:dyDescent="0.25"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6:20" x14ac:dyDescent="0.25"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6:20" x14ac:dyDescent="0.25"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6:20" x14ac:dyDescent="0.25"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6:20" x14ac:dyDescent="0.25"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6:20" x14ac:dyDescent="0.25"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6:20" x14ac:dyDescent="0.25"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6:20" x14ac:dyDescent="0.25"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</sheetData>
  <sheetProtection algorithmName="SHA-512" hashValue="QY16WELmgOuykFmB1835/fXlr3owfQfT1gRFHLukXAcOYXteC7matwn6oQrYgWYsPNOhrR6nQN+a4+TM8KJ0iw==" saltValue="TBb/ML7Z3zvXiHF5cx02Ww==" spinCount="100000" sheet="1" objects="1" scenarios="1"/>
  <dataConsolidate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A368"/>
  <sheetViews>
    <sheetView showGridLines="0" zoomScale="85" zoomScaleNormal="85" workbookViewId="0">
      <selection activeCell="L23" sqref="L23"/>
    </sheetView>
  </sheetViews>
  <sheetFormatPr defaultColWidth="9.140625" defaultRowHeight="15" x14ac:dyDescent="0.25"/>
  <cols>
    <col min="1" max="1" width="3.42578125" customWidth="1"/>
    <col min="2" max="2" width="9.5703125" style="158" customWidth="1"/>
    <col min="3" max="3" width="17.28515625" style="158" customWidth="1"/>
    <col min="4" max="4" width="18.5703125" style="158" customWidth="1"/>
    <col min="5" max="5" width="18.28515625" style="158" bestFit="1" customWidth="1"/>
    <col min="6" max="6" width="18.7109375" style="158" bestFit="1" customWidth="1"/>
    <col min="7" max="7" width="3.42578125" customWidth="1"/>
    <col min="8" max="8" width="21.140625" style="1" customWidth="1"/>
    <col min="9" max="9" width="29.7109375" style="1" customWidth="1"/>
    <col min="10" max="10" width="36.7109375" style="1" customWidth="1"/>
    <col min="11" max="11" width="90.7109375" style="301" customWidth="1"/>
    <col min="12" max="12" width="11.140625" style="383" customWidth="1"/>
    <col min="13" max="13" width="9" style="383" customWidth="1"/>
    <col min="14" max="14" width="12.42578125" style="24" customWidth="1"/>
    <col min="15" max="15" width="11.7109375" style="183" customWidth="1"/>
    <col min="16" max="16" width="10.7109375" style="34" customWidth="1"/>
    <col min="17" max="17" width="10" style="390" bestFit="1" customWidth="1"/>
    <col min="18" max="23" width="9.140625" style="390"/>
    <col min="24" max="26" width="9.140625" style="383"/>
    <col min="27" max="27" width="9.140625" style="387"/>
    <col min="28" max="16384" width="9.140625" style="2"/>
  </cols>
  <sheetData>
    <row r="1" spans="1:27" ht="55.5" customHeight="1" x14ac:dyDescent="0.25">
      <c r="B1" s="171"/>
      <c r="C1" s="171"/>
      <c r="D1" s="171"/>
      <c r="E1" s="171"/>
      <c r="F1" s="171"/>
      <c r="I1" s="188"/>
      <c r="K1" s="299"/>
      <c r="L1" s="445"/>
      <c r="M1" s="445"/>
      <c r="N1" s="446"/>
      <c r="O1" s="447"/>
      <c r="P1" s="517"/>
    </row>
    <row r="2" spans="1:27" ht="15" customHeight="1" x14ac:dyDescent="0.25">
      <c r="B2" s="535" t="s">
        <v>74</v>
      </c>
      <c r="C2" s="535"/>
      <c r="D2" s="535"/>
      <c r="E2" s="171"/>
      <c r="F2" s="171"/>
      <c r="K2" s="300"/>
      <c r="L2" s="448"/>
      <c r="M2" s="445"/>
      <c r="N2" s="446"/>
      <c r="O2" s="447"/>
      <c r="P2" s="517"/>
    </row>
    <row r="3" spans="1:27" ht="3" customHeight="1" x14ac:dyDescent="0.25">
      <c r="B3" s="215"/>
      <c r="C3" s="171"/>
      <c r="D3" s="171"/>
      <c r="E3" s="171"/>
      <c r="F3" s="171"/>
      <c r="H3" s="211"/>
      <c r="I3" s="211"/>
      <c r="J3" s="212"/>
      <c r="L3" s="448"/>
      <c r="M3" s="445"/>
      <c r="N3" s="446"/>
      <c r="O3" s="447"/>
      <c r="P3" s="517"/>
    </row>
    <row r="4" spans="1:27" s="365" customFormat="1" ht="19.5" customHeight="1" x14ac:dyDescent="0.2">
      <c r="A4" s="357"/>
      <c r="B4" s="358" t="s">
        <v>224</v>
      </c>
      <c r="C4" s="359"/>
      <c r="D4" s="360"/>
      <c r="E4" s="360"/>
      <c r="F4" s="360"/>
      <c r="G4" s="357"/>
      <c r="H4" s="361"/>
      <c r="I4" s="362"/>
      <c r="J4" s="363"/>
      <c r="K4" s="364"/>
      <c r="L4" s="449"/>
      <c r="M4" s="445"/>
      <c r="N4" s="450"/>
      <c r="O4" s="451"/>
      <c r="P4" s="518"/>
      <c r="Q4" s="391"/>
      <c r="R4" s="391"/>
      <c r="S4" s="391"/>
      <c r="T4" s="391"/>
      <c r="U4" s="391"/>
      <c r="V4" s="391"/>
      <c r="W4" s="391"/>
      <c r="X4" s="388"/>
      <c r="Y4" s="388"/>
      <c r="Z4" s="388"/>
      <c r="AA4" s="389"/>
    </row>
    <row r="5" spans="1:27" x14ac:dyDescent="0.25">
      <c r="B5" s="328" t="s">
        <v>79</v>
      </c>
      <c r="C5" s="328" t="s">
        <v>21</v>
      </c>
      <c r="D5" s="328" t="s">
        <v>140</v>
      </c>
      <c r="E5" s="328" t="s">
        <v>142</v>
      </c>
      <c r="F5" s="328" t="s">
        <v>142</v>
      </c>
      <c r="H5" s="169" t="s">
        <v>135</v>
      </c>
      <c r="I5" s="145"/>
      <c r="J5" s="146"/>
      <c r="K5" s="302"/>
      <c r="L5" s="448"/>
      <c r="M5" s="445"/>
      <c r="N5" s="452" t="s">
        <v>121</v>
      </c>
      <c r="O5" s="453">
        <f ca="1">IF(J35="полный срок",J39,J38)</f>
        <v>0</v>
      </c>
      <c r="P5" s="517"/>
      <c r="Q5" s="519"/>
    </row>
    <row r="6" spans="1:27" x14ac:dyDescent="0.25">
      <c r="B6" s="328" t="s">
        <v>201</v>
      </c>
      <c r="C6" s="328"/>
      <c r="D6" s="328" t="s">
        <v>141</v>
      </c>
      <c r="E6" s="328" t="s">
        <v>143</v>
      </c>
      <c r="F6" s="328" t="s">
        <v>15</v>
      </c>
      <c r="H6" s="532"/>
      <c r="I6" s="533"/>
      <c r="J6" s="534"/>
      <c r="K6" s="302"/>
      <c r="L6" s="445"/>
      <c r="M6" s="445"/>
      <c r="N6" s="454" t="s">
        <v>110</v>
      </c>
      <c r="O6" s="455" t="b">
        <f>IF(J35="полный срок",TRUE,FALSE)</f>
        <v>1</v>
      </c>
      <c r="P6" s="517"/>
      <c r="Q6" s="519"/>
    </row>
    <row r="7" spans="1:27" x14ac:dyDescent="0.25">
      <c r="B7" s="159">
        <v>0</v>
      </c>
      <c r="C7" s="160">
        <f>J14</f>
        <v>4499400</v>
      </c>
      <c r="D7" s="161"/>
      <c r="E7" s="161"/>
      <c r="F7" s="162"/>
      <c r="H7" s="140" t="s">
        <v>11</v>
      </c>
      <c r="I7" s="141"/>
      <c r="J7" s="242" t="s">
        <v>5</v>
      </c>
      <c r="K7" s="302"/>
      <c r="L7" s="445"/>
      <c r="M7" s="445"/>
      <c r="N7" s="454" t="s">
        <v>120</v>
      </c>
      <c r="O7" s="456" t="b">
        <f>OR($J$7="Новостройка с господдержкой 2020",$J$7="Семейная ипотека",$J$7="Семейная ипотека ДФО",$J$7="Ипотека для IT-специалистов",$J$7="Дальневосточная ипотека",$J$7="Рефинансирование по Семейной ипотеке")</f>
        <v>0</v>
      </c>
      <c r="P7" s="517"/>
      <c r="Q7" s="519"/>
    </row>
    <row r="8" spans="1:27" x14ac:dyDescent="0.25">
      <c r="B8" s="163">
        <v>1</v>
      </c>
      <c r="C8" s="164">
        <f t="shared" ref="C8:C20" ca="1" si="0">C7-E8</f>
        <v>4499255.8567251451</v>
      </c>
      <c r="D8" s="164">
        <f ca="1">E8+F8</f>
        <v>79783.523274854859</v>
      </c>
      <c r="E8" s="164">
        <f t="shared" ref="E8:E71" ca="1" si="1">-IFERROR(IF(OR(B8&lt;=$J$35,$J$35=0),PPMT($J$40/12,B8,$J$13*12,$J$14),PPMT(($O$5+$J$40)/12,B8-$J$35,$J$13*12-$J$35,$J$14+CUMPRINC($J$40/12,$J$13*12,$J$14,1,$J$35,0))),0)</f>
        <v>144.14327485485151</v>
      </c>
      <c r="F8" s="165">
        <f t="shared" ref="F8:F71" ca="1" si="2">-IF(AND($O$8,B8&lt;=$J$25,$J$24),IF($H$25="Без процентов",0,0.5),1)*IFERROR(IF(OR(B8&lt;=$J$35,$J$35=0),IPMT($J$40/12,B8,$J$13*12,$J$14),IPMT(($O$5+$J$40)/12,B8-$J$35,$J$13*12-$J$35,$J$14+CUMPRINC($J$40/12,$J$13*12,$J$14,1,$J$35,0),0,0)),0)</f>
        <v>79639.38</v>
      </c>
      <c r="H8" s="140" t="s">
        <v>9</v>
      </c>
      <c r="I8" s="141"/>
      <c r="J8" s="242" t="s">
        <v>14</v>
      </c>
      <c r="L8" s="445"/>
      <c r="M8" s="445"/>
      <c r="N8" s="454" t="s">
        <v>147</v>
      </c>
      <c r="O8" s="456" t="b">
        <f>OR($J$7="Новостройка",$J$7="Семейная ипотека",$J$7="Ипотека для IT-специалистов",$J$7="Дальневосточная ипотека")</f>
        <v>1</v>
      </c>
      <c r="P8" s="520"/>
      <c r="Q8" s="519"/>
    </row>
    <row r="9" spans="1:27" ht="14.25" customHeight="1" x14ac:dyDescent="0.25">
      <c r="B9" s="163">
        <v>3</v>
      </c>
      <c r="C9" s="164">
        <f ca="1">C10-E9</f>
        <v>4498959.8710088935</v>
      </c>
      <c r="D9" s="164">
        <f ca="1">E9+F9</f>
        <v>79783.523274854859</v>
      </c>
      <c r="E9" s="164">
        <f t="shared" ca="1" si="1"/>
        <v>149.29110543129246</v>
      </c>
      <c r="F9" s="165">
        <f t="shared" ca="1" si="2"/>
        <v>79634.232169423572</v>
      </c>
      <c r="H9" s="140" t="s">
        <v>199</v>
      </c>
      <c r="I9" s="141"/>
      <c r="J9" s="242" t="s">
        <v>200</v>
      </c>
      <c r="L9" s="445"/>
      <c r="M9" s="445"/>
      <c r="N9" s="182" t="s">
        <v>206</v>
      </c>
      <c r="O9" s="183" t="b">
        <f>OR($J$7="Новостройка",$J$7="Семейная ипотека",$J$7="Дальневосточная ипотека")</f>
        <v>1</v>
      </c>
    </row>
    <row r="10" spans="1:27" x14ac:dyDescent="0.25">
      <c r="B10" s="163">
        <v>2</v>
      </c>
      <c r="C10" s="164">
        <f ca="1">C8-E10</f>
        <v>4499109.162114325</v>
      </c>
      <c r="D10" s="164">
        <f t="shared" ref="D10:D72" ca="1" si="3">E10+F10</f>
        <v>79783.523274854859</v>
      </c>
      <c r="E10" s="164">
        <f t="shared" ca="1" si="1"/>
        <v>146.6946108197823</v>
      </c>
      <c r="F10" s="165">
        <f t="shared" ca="1" si="2"/>
        <v>79636.828664035071</v>
      </c>
      <c r="H10" s="140" t="s">
        <v>13</v>
      </c>
      <c r="I10" s="141"/>
      <c r="J10" s="243">
        <v>6000000</v>
      </c>
      <c r="K10" s="302" t="str">
        <f ca="1">IFERROR(IF((J10-J11)&gt;OFFSET(тарифы!$A$1,Калькулятор!$O$30+Калькулятор!$O$31+$O$32-2,10,Калькулятор!$O$33,1),CONCATENATE("Макc сумма ",TEXT(OFFSET(тарифы!$A$1,Калькулятор!$O$30+Калькулятор!$O$31+$O$32-2,10,Калькулятор!$O$33,1)/1000000,"0")," млн"),IF((J10-J11)&lt;OFFSET(тарифы!$A$1,Калькулятор!$O$30+Калькулятор!$O$31+$O$32-2,11,Калькулятор!$O$33,1),CONCATENATE("Мин сумма ",TEXT(OFFSET(тарифы!$A$1,Калькулятор!$O$30+Калькулятор!$O$31+$O$32-2,11,Калькулятор!$O$33,1)/1000,"0")," тыс"),"")),"Неверный тип залога")</f>
        <v/>
      </c>
      <c r="M10" s="445"/>
      <c r="N10" s="182" t="s">
        <v>222</v>
      </c>
      <c r="O10" s="183" t="b">
        <f>NOT(O7)</f>
        <v>1</v>
      </c>
    </row>
    <row r="11" spans="1:27" x14ac:dyDescent="0.25">
      <c r="B11" s="163">
        <v>4</v>
      </c>
      <c r="C11" s="164">
        <f ca="1">C9-E11</f>
        <v>4498807.937450896</v>
      </c>
      <c r="D11" s="164">
        <f t="shared" ca="1" si="3"/>
        <v>79783.523274854859</v>
      </c>
      <c r="E11" s="164">
        <f t="shared" ca="1" si="1"/>
        <v>151.93355799742642</v>
      </c>
      <c r="F11" s="165">
        <f t="shared" ca="1" si="2"/>
        <v>79631.58971685743</v>
      </c>
      <c r="H11" s="140" t="s">
        <v>133</v>
      </c>
      <c r="I11" s="5"/>
      <c r="J11" s="244">
        <v>1500600</v>
      </c>
      <c r="K11" s="302" t="str">
        <f>IF(J12&lt;O16,"   ПВ должен быть от "&amp;TEXT(J10*O16,"# ###")&amp;" руб.","")</f>
        <v/>
      </c>
      <c r="L11" s="445"/>
      <c r="M11" s="445"/>
      <c r="N11" s="182" t="s">
        <v>223</v>
      </c>
      <c r="O11" s="183" t="b">
        <f>AND(NOT(J24),AND(NOT(O7),J8&lt;&gt;"Коммерция"))</f>
        <v>1</v>
      </c>
    </row>
    <row r="12" spans="1:27" ht="14.25" customHeight="1" x14ac:dyDescent="0.25">
      <c r="B12" s="163">
        <v>5</v>
      </c>
      <c r="C12" s="164">
        <f t="shared" ca="1" si="0"/>
        <v>4498653.3146689218</v>
      </c>
      <c r="D12" s="164">
        <f t="shared" ca="1" si="3"/>
        <v>79783.523274854859</v>
      </c>
      <c r="E12" s="164">
        <f t="shared" ca="1" si="1"/>
        <v>154.62278197398089</v>
      </c>
      <c r="F12" s="165">
        <f t="shared" ca="1" si="2"/>
        <v>79628.900492880872</v>
      </c>
      <c r="H12" s="140" t="s">
        <v>50</v>
      </c>
      <c r="I12" s="5"/>
      <c r="J12" s="319">
        <f>$J$11/$J$10</f>
        <v>0.25009999999999999</v>
      </c>
      <c r="K12" s="302" t="str">
        <f>IF(J12&lt;O16,"   ПВ должен быть от " &amp; TEXT(O16,"#0,00%"),"")</f>
        <v/>
      </c>
      <c r="L12" s="445"/>
      <c r="M12" s="445"/>
      <c r="N12" s="454" t="s">
        <v>134</v>
      </c>
      <c r="O12" s="457">
        <f ca="1">INDEX(данные!$E$1:$BB$7,$O$20,$O$24)/100</f>
        <v>7.2499999999999995E-2</v>
      </c>
      <c r="P12" s="517"/>
    </row>
    <row r="13" spans="1:27" ht="14.25" customHeight="1" x14ac:dyDescent="0.25">
      <c r="B13" s="163">
        <v>6</v>
      </c>
      <c r="C13" s="164">
        <f t="shared" ca="1" si="0"/>
        <v>4498495.9550637072</v>
      </c>
      <c r="D13" s="164">
        <f t="shared" ca="1" si="3"/>
        <v>79783.523274854859</v>
      </c>
      <c r="E13" s="164">
        <f t="shared" ca="1" si="1"/>
        <v>157.35960521492024</v>
      </c>
      <c r="F13" s="165">
        <f t="shared" ca="1" si="2"/>
        <v>79626.163669639936</v>
      </c>
      <c r="H13" s="140" t="s">
        <v>2</v>
      </c>
      <c r="I13" s="141"/>
      <c r="J13" s="241">
        <v>30</v>
      </c>
      <c r="K13" s="302" t="str">
        <f ca="1">IFERROR(IF(J13&lt;OFFSET(тарифы!$A$1,Калькулятор!$O$30+Калькулятор!$O$31+$O$32-2,12,Калькулятор!$O$33,1),CONCATENATE("Мин срок от ",TEXT(OFFSET(тарифы!$A$1,Калькулятор!$O$30+Калькулятор!$O$31+$O$32-2,12,Калькулятор!$O$33,1),"0")," лет"),""),"Ошибка")</f>
        <v/>
      </c>
      <c r="L13" s="445"/>
      <c r="M13" s="445"/>
      <c r="N13" s="454" t="s">
        <v>189</v>
      </c>
      <c r="O13" s="458">
        <f ca="1">INDEX(данные!$E$1:$BB$7,$O$20,$O$24)</f>
        <v>7.25</v>
      </c>
      <c r="P13" s="517"/>
    </row>
    <row r="14" spans="1:27" x14ac:dyDescent="0.25">
      <c r="B14" s="163">
        <v>7</v>
      </c>
      <c r="C14" s="164">
        <f ca="1">C13-E14</f>
        <v>4498335.81019348</v>
      </c>
      <c r="D14" s="164">
        <f t="shared" ca="1" si="3"/>
        <v>79783.523274854859</v>
      </c>
      <c r="E14" s="164">
        <f t="shared" ca="1" si="1"/>
        <v>160.14487022722437</v>
      </c>
      <c r="F14" s="165">
        <f t="shared" ca="1" si="2"/>
        <v>79623.378404627641</v>
      </c>
      <c r="H14" s="140" t="s">
        <v>12</v>
      </c>
      <c r="I14" s="141"/>
      <c r="J14" s="144">
        <f>IF(AND(J27,J29),($J$10-$J$11)/(1-$J$28),($J$10-$J$11))</f>
        <v>4499400</v>
      </c>
      <c r="K14" s="302"/>
      <c r="L14" s="445"/>
      <c r="M14" s="445"/>
      <c r="N14" s="459" t="s">
        <v>139</v>
      </c>
      <c r="O14" s="460">
        <v>1E-3</v>
      </c>
      <c r="P14" s="517"/>
    </row>
    <row r="15" spans="1:27" x14ac:dyDescent="0.25">
      <c r="B15" s="163">
        <v>8</v>
      </c>
      <c r="C15" s="164">
        <f t="shared" ca="1" si="0"/>
        <v>4498172.8307590494</v>
      </c>
      <c r="D15" s="164">
        <f t="shared" ca="1" si="3"/>
        <v>79783.523274854859</v>
      </c>
      <c r="E15" s="164">
        <f t="shared" ca="1" si="1"/>
        <v>162.97943443024627</v>
      </c>
      <c r="F15" s="165">
        <f t="shared" ca="1" si="2"/>
        <v>79620.543840424609</v>
      </c>
      <c r="H15" s="140" t="s">
        <v>0</v>
      </c>
      <c r="I15" s="4"/>
      <c r="J15" s="143">
        <f>IF(J14/J10&gt;O17,
CONCATENATE("Превышен максимальный LTV ",TEXT(O17,"0%")),
J14/J10)</f>
        <v>0.74990000000000001</v>
      </c>
      <c r="K15" s="395" t="str">
        <f>IF(J14/J10&gt;O17,CONCATENATE("  Фактический LTV ",TEXT(J14/J10,"0%")),"")</f>
        <v/>
      </c>
      <c r="L15" s="445"/>
      <c r="M15" s="445"/>
      <c r="N15" s="461" t="s">
        <v>188</v>
      </c>
      <c r="O15" s="455" t="b">
        <f>IF(OR(J7="Новостройка с господдержкой 2020",J7="Семейная ипотека",J7="Семейная ипотека ДФО",$J$7="Ипотека для IT-специалистов"),TRUE,FALSE)</f>
        <v>0</v>
      </c>
      <c r="P15" s="521"/>
    </row>
    <row r="16" spans="1:27" x14ac:dyDescent="0.25">
      <c r="B16" s="163">
        <v>9</v>
      </c>
      <c r="C16" s="164">
        <f t="shared" ca="1" si="0"/>
        <v>4498006.9665886294</v>
      </c>
      <c r="D16" s="164">
        <f t="shared" ca="1" si="3"/>
        <v>79783.523274854859</v>
      </c>
      <c r="E16" s="164">
        <f t="shared" ca="1" si="1"/>
        <v>165.86417041966166</v>
      </c>
      <c r="F16" s="165">
        <f t="shared" ca="1" si="2"/>
        <v>79617.659104435195</v>
      </c>
      <c r="H16" s="140" t="s">
        <v>169</v>
      </c>
      <c r="I16" s="4"/>
      <c r="J16" s="150">
        <f ca="1">IF(J17&gt;0,J17,
INDEX(тарифы!$A$2:$P$1502,O30+O31+MATCH(J15,OFFSET(тарифы!$A$1,Калькулятор!$O$30+Калькулятор!$O$31-1,3,Калькулятор!$O$33,1),-1)-2,6)+
IF(AND($O$15,J35="полный срок",J34),-O14,
IF(AND(NOT($O$7),NOT($J$22),NOT($J$24)),INDEX(тарифы!$A$2:$P$1502,O30+O31+MATCH(J15,OFFSET(тарифы!$A$1,Калькулятор!$O$30+Калькулятор!$O$31-1,3,Калькулятор!$O$33,1),-1)-2,7),0))+
IF($O$35,INDEX(тарифы!$A$2:$P$1502,O30+O31+MATCH(J15,OFFSET(тарифы!$A$1,Калькулятор!$O$30+Калькулятор!$O$31-1,3,Калькулятор!$O$33,1),-1)-2,8),0)+
OFFSET(тарифы!$A$1,Калькулятор!$O$30+Калькулятор!$O$31+$O$32-2,8,Калькулятор!$O$33,1)+
IF($O$36,INDEX(тарифы!$A$2:$P$1502,O30+O31+MATCH(J15,OFFSET(тарифы!$A$1,Калькулятор!$O$30+Калькулятор!$O$31-1,3,Калькулятор!$O$33,1),-1)-2,14),0)+
IF(J27,J30,0)+
IFERROR(IF($J$25&gt;0,VLOOKUP(Калькулятор!J7,тарифы!$AM:$AN,2,0),0),0))+
IF(AND($O$36,NOT($J$22)),INDEX(тарифы!$A$2:$P$1502,O30+O31+MATCH(J15,OFFSET(тарифы!$A$1,Калькулятор!$O$30+Калькулятор!$O$31-1,3,Калькулятор!$O$33,1),-1)-2,15),0)+
IF($O$34,INDEX(тарифы!$A$2:$P$1502,O30+O31+MATCH(J15,OFFSET(тарифы!$A$1,Калькулятор!$O$30+Калькулятор!$O$31-1,3,Калькулятор!$O$33,1),-1)-2,16),0)+
IF(NOT(O7),VLOOKUP(J18,тарифы!AW2:AX3,2,FALSE),0)</f>
        <v>0.21240000000000001</v>
      </c>
      <c r="K16" s="394"/>
      <c r="L16" s="445"/>
      <c r="M16" s="445"/>
      <c r="N16" s="182" t="s">
        <v>221</v>
      </c>
      <c r="O16" s="462">
        <f>IF(J8="Коммерция",30.01%,
IF(AND(NOT(O7),J9="ДДУ",OR(J24,J34)),25.01%,
IF(AND(NOT(O7),J9="ДДУ"),20.01%,
IF(AND(NOT(O7),J9="ДКП"),15.01%,
IF(O7,25.01%,"")))))</f>
        <v>0.15010000000000001</v>
      </c>
    </row>
    <row r="17" spans="2:16" x14ac:dyDescent="0.25">
      <c r="B17" s="163">
        <v>10</v>
      </c>
      <c r="C17" s="164">
        <f t="shared" ca="1" si="0"/>
        <v>4497838.1666223938</v>
      </c>
      <c r="D17" s="164">
        <f t="shared" ca="1" si="3"/>
        <v>79783.523274854859</v>
      </c>
      <c r="E17" s="164">
        <f t="shared" ca="1" si="1"/>
        <v>168.79996623608955</v>
      </c>
      <c r="F17" s="165">
        <f t="shared" ca="1" si="2"/>
        <v>79614.723308618763</v>
      </c>
      <c r="H17" s="154" t="s">
        <v>170</v>
      </c>
      <c r="I17" s="155"/>
      <c r="J17" s="209">
        <v>0</v>
      </c>
      <c r="K17" s="302"/>
      <c r="L17" s="445"/>
      <c r="M17" s="445"/>
      <c r="N17" s="182" t="s">
        <v>212</v>
      </c>
      <c r="O17" s="463">
        <f>IF(AND(NOT(O7),J7="Вторичка",J27,J29),90%,
IF(J8="Коммерция",70%,
IF(AND(NOT(O7),J9="ДДУ",OR(J24,J34)),75%,
IF(AND(NOT(O7),J9="ДДУ"),80%,
IF(AND(NOT(O7),J9="ДКП"),85%,
IF(O7,75%,""))))))</f>
        <v>0.85</v>
      </c>
    </row>
    <row r="18" spans="2:16" x14ac:dyDescent="0.25">
      <c r="B18" s="163">
        <v>11</v>
      </c>
      <c r="C18" s="164">
        <f t="shared" ca="1" si="0"/>
        <v>4497666.3788967552</v>
      </c>
      <c r="D18" s="164">
        <f t="shared" ca="1" si="3"/>
        <v>79783.523274854859</v>
      </c>
      <c r="E18" s="164">
        <f t="shared" ca="1" si="1"/>
        <v>171.78772563846837</v>
      </c>
      <c r="F18" s="165">
        <f t="shared" ca="1" si="2"/>
        <v>79611.735549216392</v>
      </c>
      <c r="H18" s="152" t="s">
        <v>146</v>
      </c>
      <c r="I18" s="153"/>
      <c r="J18" s="240">
        <v>5.0000000000000001E-3</v>
      </c>
      <c r="K18" s="302"/>
      <c r="L18" s="445"/>
      <c r="M18" s="445"/>
      <c r="P18" s="517"/>
    </row>
    <row r="19" spans="2:16" x14ac:dyDescent="0.25">
      <c r="B19" s="163">
        <v>12</v>
      </c>
      <c r="C19" s="164">
        <f t="shared" ca="1" si="0"/>
        <v>4497491.5505283726</v>
      </c>
      <c r="D19" s="164">
        <f t="shared" ca="1" si="3"/>
        <v>79783.523274854844</v>
      </c>
      <c r="E19" s="164">
        <f t="shared" ca="1" si="1"/>
        <v>174.8283683822693</v>
      </c>
      <c r="F19" s="165">
        <f t="shared" ca="1" si="2"/>
        <v>79608.694906472578</v>
      </c>
      <c r="H19" s="17" t="str">
        <f>IF(H43&lt;&gt;"","","Ежемесячный платеж, руб.")</f>
        <v>Ежемесячный платеж, руб.</v>
      </c>
      <c r="I19" s="18"/>
      <c r="J19" s="19">
        <f ca="1">IF(H43&lt;&gt;"","",-PMT($J$16/12,$J$13*12,$J$14))</f>
        <v>79783.523274854859</v>
      </c>
      <c r="K19" s="302"/>
      <c r="L19" s="445"/>
      <c r="M19" s="445"/>
      <c r="N19" s="454" t="s">
        <v>227</v>
      </c>
      <c r="O19" s="183" t="str">
        <f>IF(O7,J7&amp;"_","рын_")&amp;J36&amp;IF(OR(($J$11/$J$10)&gt;0.2,J9="ДКП"),"_ПВ20","_ПВ15")</f>
        <v>рын_без отсрочки_ПВ20</v>
      </c>
      <c r="P19" s="517"/>
    </row>
    <row r="20" spans="2:16" x14ac:dyDescent="0.25">
      <c r="B20" s="163">
        <v>13</v>
      </c>
      <c r="C20" s="164">
        <f t="shared" ca="1" si="0"/>
        <v>4497313.6276978701</v>
      </c>
      <c r="D20" s="164">
        <f t="shared" ca="1" si="3"/>
        <v>79783.523274854844</v>
      </c>
      <c r="E20" s="164">
        <f t="shared" ca="1" si="1"/>
        <v>177.92283050263538</v>
      </c>
      <c r="F20" s="165">
        <f t="shared" ca="1" si="2"/>
        <v>79605.600444352211</v>
      </c>
      <c r="H20" s="167"/>
      <c r="I20" s="167"/>
      <c r="J20" s="167"/>
      <c r="K20" s="302"/>
      <c r="L20" s="445"/>
      <c r="M20" s="445"/>
      <c r="N20" s="461" t="s">
        <v>184</v>
      </c>
      <c r="O20" s="464">
        <f>MATCH(CONCATENATE($J$7,$J$35),данные!$C:$C,0)</f>
        <v>4</v>
      </c>
      <c r="P20" s="517"/>
    </row>
    <row r="21" spans="2:16" ht="15" customHeight="1" x14ac:dyDescent="0.25">
      <c r="B21" s="163">
        <v>14</v>
      </c>
      <c r="C21" s="164">
        <f t="shared" ref="C21:C84" ca="1" si="4">C20-E21</f>
        <v>4497132.5556332674</v>
      </c>
      <c r="D21" s="164">
        <f t="shared" ca="1" si="3"/>
        <v>79783.523274854844</v>
      </c>
      <c r="E21" s="164">
        <f t="shared" ca="1" si="1"/>
        <v>181.07206460253209</v>
      </c>
      <c r="F21" s="165">
        <f t="shared" ca="1" si="2"/>
        <v>79602.451210252315</v>
      </c>
      <c r="H21" s="169" t="s">
        <v>136</v>
      </c>
      <c r="I21" s="145"/>
      <c r="J21" s="146"/>
      <c r="K21" s="302"/>
      <c r="L21" s="445"/>
      <c r="M21" s="445"/>
      <c r="N21" s="461" t="s">
        <v>185</v>
      </c>
      <c r="O21" s="455">
        <f ca="1">MATCH(0,OFFSET(данные!$A$1,$O$20-1,1,1,100),1)+1</f>
        <v>5</v>
      </c>
      <c r="P21" s="517"/>
    </row>
    <row r="22" spans="2:16" ht="15" customHeight="1" x14ac:dyDescent="0.25">
      <c r="B22" s="163">
        <v>15</v>
      </c>
      <c r="C22" s="164">
        <f t="shared" ca="1" si="4"/>
        <v>4496948.2785931211</v>
      </c>
      <c r="D22" s="164">
        <f t="shared" ca="1" si="3"/>
        <v>79783.523274854873</v>
      </c>
      <c r="E22" s="164">
        <f t="shared" ca="1" si="1"/>
        <v>184.27704014599695</v>
      </c>
      <c r="F22" s="165">
        <f t="shared" ca="1" si="2"/>
        <v>79599.246234708873</v>
      </c>
      <c r="H22" s="327" t="s">
        <v>52</v>
      </c>
      <c r="I22" s="149"/>
      <c r="J22" s="210" t="b">
        <v>0</v>
      </c>
      <c r="K22" s="302"/>
      <c r="L22" s="445"/>
      <c r="M22" s="445"/>
      <c r="N22" s="461" t="s">
        <v>186</v>
      </c>
      <c r="O22" s="464">
        <f ca="1">COUNTIF(OFFSET(данные!$C$1,$O$20-1,2,1,100),"&gt;0")</f>
        <v>28</v>
      </c>
    </row>
    <row r="23" spans="2:16" ht="15" customHeight="1" x14ac:dyDescent="0.25">
      <c r="B23" s="163">
        <v>16</v>
      </c>
      <c r="C23" s="164">
        <f t="shared" ca="1" si="4"/>
        <v>4496760.7398493644</v>
      </c>
      <c r="D23" s="164">
        <f t="shared" ca="1" si="3"/>
        <v>79783.523274854859</v>
      </c>
      <c r="E23" s="164">
        <f t="shared" ca="1" si="1"/>
        <v>187.53874375658111</v>
      </c>
      <c r="F23" s="165">
        <f t="shared" ca="1" si="2"/>
        <v>79595.984531098278</v>
      </c>
      <c r="L23" s="445"/>
      <c r="M23" s="445"/>
      <c r="N23" s="461" t="s">
        <v>187</v>
      </c>
      <c r="O23" s="455">
        <f>MATCH(O19,данные!$A$1:$A$59,0)</f>
        <v>49</v>
      </c>
      <c r="P23" s="517"/>
    </row>
    <row r="24" spans="2:16" x14ac:dyDescent="0.25">
      <c r="B24" s="163">
        <v>17</v>
      </c>
      <c r="C24" s="164">
        <f t="shared" ca="1" si="4"/>
        <v>4496569.8816698436</v>
      </c>
      <c r="D24" s="164">
        <f t="shared" ca="1" si="3"/>
        <v>79783.523274854859</v>
      </c>
      <c r="E24" s="164">
        <f t="shared" ca="1" si="1"/>
        <v>190.85817952107246</v>
      </c>
      <c r="F24" s="165">
        <f t="shared" ca="1" si="2"/>
        <v>79592.665095333781</v>
      </c>
      <c r="H24" s="310" t="s">
        <v>197</v>
      </c>
      <c r="I24" s="311"/>
      <c r="J24" s="312" t="b">
        <v>0</v>
      </c>
      <c r="K24" s="301" t="str">
        <f>IF(AND(J24,NOT(O9)),"Неприминимо для выбранной программы","")</f>
        <v/>
      </c>
      <c r="L24" s="445"/>
      <c r="M24" s="445"/>
      <c r="N24" s="454" t="s">
        <v>190</v>
      </c>
      <c r="O24" s="465">
        <f ca="1">MATCH(J37,INDIRECT("данные!E"&amp;O23):INDIRECT("данные!BB"&amp;O23),0)</f>
        <v>29</v>
      </c>
      <c r="P24" s="517"/>
    </row>
    <row r="25" spans="2:16" x14ac:dyDescent="0.25">
      <c r="B25" s="163">
        <v>18</v>
      </c>
      <c r="C25" s="164">
        <f t="shared" ca="1" si="4"/>
        <v>4496375.6453005448</v>
      </c>
      <c r="D25" s="164">
        <f t="shared" ca="1" si="3"/>
        <v>79783.523274854859</v>
      </c>
      <c r="E25" s="164">
        <f t="shared" ca="1" si="1"/>
        <v>194.23636929859549</v>
      </c>
      <c r="F25" s="165">
        <f t="shared" ca="1" si="2"/>
        <v>79589.286905556262</v>
      </c>
      <c r="H25" s="309" t="s">
        <v>78</v>
      </c>
      <c r="I25" s="148" t="s">
        <v>69</v>
      </c>
      <c r="J25" s="238">
        <v>6</v>
      </c>
      <c r="K25" s="302"/>
      <c r="M25" s="445"/>
      <c r="P25" s="517"/>
    </row>
    <row r="26" spans="2:16" x14ac:dyDescent="0.25">
      <c r="B26" s="163">
        <v>19</v>
      </c>
      <c r="C26" s="164">
        <f t="shared" ca="1" si="4"/>
        <v>4496177.9709475096</v>
      </c>
      <c r="D26" s="164">
        <f t="shared" ca="1" si="3"/>
        <v>79783.523274854859</v>
      </c>
      <c r="E26" s="164">
        <f t="shared" ca="1" si="1"/>
        <v>197.6743530351807</v>
      </c>
      <c r="F26" s="165">
        <f t="shared" ca="1" si="2"/>
        <v>79585.848921819677</v>
      </c>
      <c r="L26" s="445"/>
      <c r="M26" s="445"/>
      <c r="N26" s="461" t="s">
        <v>172</v>
      </c>
      <c r="O26" s="455">
        <f ca="1">MATCH($J$36,OFFSET(данные!$A$67,1,0,1000,1),0)</f>
        <v>2</v>
      </c>
      <c r="P26" s="517"/>
    </row>
    <row r="27" spans="2:16" x14ac:dyDescent="0.25">
      <c r="B27" s="163">
        <v>20</v>
      </c>
      <c r="C27" s="164">
        <f t="shared" ca="1" si="4"/>
        <v>4495976.7977584256</v>
      </c>
      <c r="D27" s="164">
        <f t="shared" ca="1" si="3"/>
        <v>79783.523274854859</v>
      </c>
      <c r="E27" s="164">
        <f t="shared" ca="1" si="1"/>
        <v>201.17318908390342</v>
      </c>
      <c r="F27" s="165">
        <f t="shared" ca="1" si="2"/>
        <v>79582.350085770959</v>
      </c>
      <c r="H27" s="320" t="s">
        <v>138</v>
      </c>
      <c r="I27" s="321"/>
      <c r="J27" s="322" t="b">
        <v>0</v>
      </c>
      <c r="K27" s="302" t="str">
        <f>IF(AND(NOT(O10),$J$27),"Неприменимо","")</f>
        <v/>
      </c>
      <c r="L27" s="445"/>
      <c r="M27" s="445"/>
      <c r="N27" s="461"/>
      <c r="O27" s="455">
        <f ca="1">MATCH($J$7,OFFSET(данные!$A$67,O26,1,1000,1),0)</f>
        <v>32</v>
      </c>
      <c r="P27" s="517"/>
    </row>
    <row r="28" spans="2:16" ht="15" customHeight="1" x14ac:dyDescent="0.25">
      <c r="B28" s="163">
        <v>21</v>
      </c>
      <c r="C28" s="164">
        <f t="shared" ca="1" si="4"/>
        <v>4495772.0638038944</v>
      </c>
      <c r="D28" s="164">
        <f t="shared" ca="1" si="3"/>
        <v>79783.523274854859</v>
      </c>
      <c r="E28" s="164">
        <f t="shared" ca="1" si="1"/>
        <v>204.73395453068841</v>
      </c>
      <c r="F28" s="165">
        <f t="shared" ca="1" si="2"/>
        <v>79578.789320324169</v>
      </c>
      <c r="H28" s="313" t="s">
        <v>152</v>
      </c>
      <c r="I28" s="314"/>
      <c r="J28" s="315">
        <v>0.17499999999999999</v>
      </c>
      <c r="K28" s="302"/>
      <c r="L28" s="445"/>
      <c r="M28" s="445"/>
      <c r="N28" s="461"/>
      <c r="O28" s="455" t="e">
        <f ca="1">MATCH($J$35,OFFSET(данные!$A$67,O27,3,1000,1),0)</f>
        <v>#N/A</v>
      </c>
      <c r="P28" s="517"/>
    </row>
    <row r="29" spans="2:16" ht="15" customHeight="1" x14ac:dyDescent="0.25">
      <c r="B29" s="163">
        <v>22</v>
      </c>
      <c r="C29" s="164">
        <f t="shared" ca="1" si="4"/>
        <v>4495563.706058369</v>
      </c>
      <c r="D29" s="164">
        <f t="shared" ca="1" si="3"/>
        <v>79783.523274854859</v>
      </c>
      <c r="E29" s="164">
        <f t="shared" ca="1" si="1"/>
        <v>208.35774552588165</v>
      </c>
      <c r="F29" s="165">
        <f t="shared" ca="1" si="2"/>
        <v>79575.16552932898</v>
      </c>
      <c r="H29" s="217" t="s">
        <v>137</v>
      </c>
      <c r="I29" s="5"/>
      <c r="J29" s="239" t="b">
        <v>0</v>
      </c>
      <c r="K29" s="302" t="str">
        <f>IF(AND(O7,J27,J29),"Услуга недоступна в кредит","")</f>
        <v/>
      </c>
      <c r="L29" s="445"/>
      <c r="M29" s="445"/>
      <c r="N29" s="461"/>
      <c r="O29" s="455" t="e">
        <f ca="1">COUNTIF(OFFSET(данные!$A$67,O26-1+O27-1+O28,4,1,20),"&gt;0")</f>
        <v>#N/A</v>
      </c>
      <c r="P29" s="517"/>
    </row>
    <row r="30" spans="2:16" x14ac:dyDescent="0.25">
      <c r="B30" s="163">
        <v>23</v>
      </c>
      <c r="C30" s="164">
        <f t="shared" ca="1" si="4"/>
        <v>4495351.6603807472</v>
      </c>
      <c r="D30" s="164">
        <f t="shared" ca="1" si="3"/>
        <v>79783.523274854859</v>
      </c>
      <c r="E30" s="164">
        <f t="shared" ca="1" si="1"/>
        <v>212.04567762168978</v>
      </c>
      <c r="F30" s="165">
        <f t="shared" ca="1" si="2"/>
        <v>79571.47759723317</v>
      </c>
      <c r="H30" s="217" t="s">
        <v>153</v>
      </c>
      <c r="I30" s="5"/>
      <c r="J30" s="150">
        <f ca="1">IFERROR(OFFSET(тарифы!$AB$1,MATCH(J28,OFFSET(тарифы!$AB$1,MATCH($J$7,тарифы!$AB$2:$AB$51,0),1,COUNTIF(тарифы!$AB$2:$AB$51,Калькулятор!$J$7),1),0)-1+MATCH($J$7,тарифы!$AB$2:$AB$51,0),2,1,1),"выберите корректную ставку")</f>
        <v>-4.7500000000000001E-2</v>
      </c>
      <c r="K30" s="302"/>
      <c r="L30" s="445"/>
      <c r="M30" s="445"/>
      <c r="N30" s="454" t="s">
        <v>31</v>
      </c>
      <c r="O30" s="466">
        <f>MATCH($J$7,тарифы!$A$2:$A$5002,0)</f>
        <v>1</v>
      </c>
      <c r="P30" s="517"/>
    </row>
    <row r="31" spans="2:16" x14ac:dyDescent="0.25">
      <c r="B31" s="163">
        <v>24</v>
      </c>
      <c r="C31" s="164">
        <f t="shared" ca="1" si="4"/>
        <v>4495135.8614946315</v>
      </c>
      <c r="D31" s="164">
        <f t="shared" ca="1" si="3"/>
        <v>79783.523274854844</v>
      </c>
      <c r="E31" s="164">
        <f t="shared" ca="1" si="1"/>
        <v>215.79888611559375</v>
      </c>
      <c r="F31" s="165">
        <f t="shared" ca="1" si="2"/>
        <v>79567.724388739254</v>
      </c>
      <c r="H31" s="217" t="s">
        <v>154</v>
      </c>
      <c r="I31" s="5"/>
      <c r="J31" s="147">
        <f>IF(J29,($J$10-$J$11)/(1-J28)-(J10-J11),J14*J28)</f>
        <v>787395</v>
      </c>
      <c r="K31" s="302"/>
      <c r="L31" s="445"/>
      <c r="M31" s="445"/>
      <c r="N31" s="454"/>
      <c r="O31" s="466">
        <f ca="1">MATCH(Калькулятор!$J$8,OFFSET(тарифы!$A$1,Калькулятор!$O$30,1,COUNTIF(тарифы!$A$2:$A$502,Калькулятор!J7),1),0)</f>
        <v>1</v>
      </c>
      <c r="P31" s="517"/>
    </row>
    <row r="32" spans="2:16" x14ac:dyDescent="0.25">
      <c r="B32" s="163">
        <v>25</v>
      </c>
      <c r="C32" s="164">
        <f t="shared" ca="1" si="4"/>
        <v>4494916.2429682314</v>
      </c>
      <c r="D32" s="164">
        <f t="shared" ca="1" si="3"/>
        <v>79783.523274854844</v>
      </c>
      <c r="E32" s="164">
        <f t="shared" ca="1" si="1"/>
        <v>219.6185263998396</v>
      </c>
      <c r="F32" s="165">
        <f t="shared" ca="1" si="2"/>
        <v>79563.90474845501</v>
      </c>
      <c r="H32" s="316" t="s">
        <v>155</v>
      </c>
      <c r="I32" s="18"/>
      <c r="J32" s="317">
        <f ca="1">IF(J28&gt;0,-SUM(F7:F367)-CUMIPMT((J16-J30)/12,J13*12,J14-IF(J29,J31,0),1,J13*12,0)-J31,0)</f>
        <v>5588034.2574800327</v>
      </c>
      <c r="K32" s="302"/>
      <c r="M32" s="445"/>
      <c r="N32" s="454"/>
      <c r="O32" s="466">
        <f ca="1">MATCH(O35,OFFSET(тарифы!$A$1,Калькулятор!$O$30,7,COUNTIF(тарифы!$A$2:$A$502,Калькулятор!J7),1),0)</f>
        <v>1</v>
      </c>
      <c r="P32" s="517"/>
    </row>
    <row r="33" spans="2:16" x14ac:dyDescent="0.25">
      <c r="B33" s="163">
        <v>26</v>
      </c>
      <c r="C33" s="164">
        <f t="shared" ca="1" si="4"/>
        <v>4494692.7371939141</v>
      </c>
      <c r="D33" s="164">
        <f t="shared" ca="1" si="3"/>
        <v>79783.523274854859</v>
      </c>
      <c r="E33" s="164">
        <f t="shared" ca="1" si="1"/>
        <v>223.50577431711685</v>
      </c>
      <c r="F33" s="165">
        <f t="shared" ca="1" si="2"/>
        <v>79560.017500537739</v>
      </c>
      <c r="M33" s="445"/>
      <c r="N33" s="454"/>
      <c r="O33" s="467">
        <f>COUNTIFS(тарифы!$A:$A,Калькулятор!$J$7,тарифы!B:B,Калькулятор!J8:J8,тарифы!H:H,Калькулятор!O35)</f>
        <v>1</v>
      </c>
      <c r="P33" s="517"/>
    </row>
    <row r="34" spans="2:16" ht="14.25" customHeight="1" x14ac:dyDescent="0.25">
      <c r="B34" s="163">
        <v>27</v>
      </c>
      <c r="C34" s="164">
        <f t="shared" ca="1" si="4"/>
        <v>4494465.2753673913</v>
      </c>
      <c r="D34" s="164">
        <f t="shared" ca="1" si="3"/>
        <v>79783.523274854859</v>
      </c>
      <c r="E34" s="164">
        <f t="shared" ca="1" si="1"/>
        <v>227.46182652252983</v>
      </c>
      <c r="F34" s="165">
        <f t="shared" ca="1" si="2"/>
        <v>79556.06144833233</v>
      </c>
      <c r="H34" s="318" t="s">
        <v>220</v>
      </c>
      <c r="I34" s="334"/>
      <c r="J34" s="335" t="b">
        <v>0</v>
      </c>
      <c r="K34" s="302"/>
      <c r="L34" s="445"/>
      <c r="M34" s="445"/>
      <c r="N34" s="454" t="s">
        <v>75</v>
      </c>
      <c r="O34" s="464" t="b">
        <v>0</v>
      </c>
      <c r="P34" s="517"/>
    </row>
    <row r="35" spans="2:16" x14ac:dyDescent="0.25">
      <c r="B35" s="163">
        <v>28</v>
      </c>
      <c r="C35" s="164">
        <f t="shared" ca="1" si="4"/>
        <v>4494233.7874665391</v>
      </c>
      <c r="D35" s="164">
        <f t="shared" ca="1" si="3"/>
        <v>79783.523274854859</v>
      </c>
      <c r="E35" s="164">
        <f t="shared" ca="1" si="1"/>
        <v>231.48790085197848</v>
      </c>
      <c r="F35" s="165">
        <f t="shared" ca="1" si="2"/>
        <v>79552.03537400288</v>
      </c>
      <c r="H35" s="323" t="str">
        <f>IF(AND($J$34,$O$8),"Срок субсидирования ставки застройщиком, мес","")</f>
        <v/>
      </c>
      <c r="I35" s="324"/>
      <c r="J35" s="333" t="s">
        <v>4</v>
      </c>
      <c r="K35" s="302"/>
      <c r="M35" s="445"/>
      <c r="N35" s="454" t="s">
        <v>32</v>
      </c>
      <c r="O35" s="464" t="b">
        <v>0</v>
      </c>
      <c r="P35" s="517"/>
    </row>
    <row r="36" spans="2:16" x14ac:dyDescent="0.25">
      <c r="B36" s="163">
        <v>29</v>
      </c>
      <c r="C36" s="164">
        <f t="shared" ca="1" si="4"/>
        <v>4493998.2022298416</v>
      </c>
      <c r="D36" s="164">
        <f t="shared" ca="1" si="3"/>
        <v>79783.523274854859</v>
      </c>
      <c r="E36" s="164">
        <f t="shared" ca="1" si="1"/>
        <v>235.58523669705852</v>
      </c>
      <c r="F36" s="165">
        <f t="shared" ca="1" si="2"/>
        <v>79547.938038157794</v>
      </c>
      <c r="H36" s="216" t="str">
        <f>IF(AND($J$34,$O$8),"Срок отсрочки выплаты, мес","")</f>
        <v/>
      </c>
      <c r="I36" s="3"/>
      <c r="J36" s="245" t="s">
        <v>3</v>
      </c>
      <c r="K36" s="302"/>
      <c r="M36" s="445"/>
      <c r="N36" s="454" t="s">
        <v>171</v>
      </c>
      <c r="O36" s="464" t="b">
        <v>0</v>
      </c>
      <c r="P36" s="517"/>
    </row>
    <row r="37" spans="2:16" x14ac:dyDescent="0.25">
      <c r="B37" s="163">
        <v>30</v>
      </c>
      <c r="C37" s="164">
        <f t="shared" ca="1" si="4"/>
        <v>4493758.4471344547</v>
      </c>
      <c r="D37" s="164">
        <f t="shared" ca="1" si="3"/>
        <v>79783.523274854859</v>
      </c>
      <c r="E37" s="164">
        <f t="shared" ca="1" si="1"/>
        <v>239.75509538659654</v>
      </c>
      <c r="F37" s="165">
        <f t="shared" ca="1" si="2"/>
        <v>79543.768179468258</v>
      </c>
      <c r="H37" s="293" t="str">
        <f>IF(AND(AND($J$34,$O$8),J35&lt;&gt;0),"Субсидия от застройщика, % от суммы кредита","")</f>
        <v/>
      </c>
      <c r="I37" s="294"/>
      <c r="J37" s="295">
        <v>0.22</v>
      </c>
      <c r="K37" s="302" t="str">
        <f ca="1">IF(J40="Выберите подходящие параметры","V",IF(AND($J$34,$J$35&lt;&gt;"полный срок"),"Введите вручную",""))</f>
        <v/>
      </c>
    </row>
    <row r="38" spans="2:16" x14ac:dyDescent="0.25">
      <c r="B38" s="163">
        <v>31</v>
      </c>
      <c r="C38" s="164">
        <f t="shared" ca="1" si="4"/>
        <v>4493514.4483738802</v>
      </c>
      <c r="D38" s="164">
        <f t="shared" ca="1" si="3"/>
        <v>79783.523274854844</v>
      </c>
      <c r="E38" s="164">
        <f t="shared" ca="1" si="1"/>
        <v>243.99876057493935</v>
      </c>
      <c r="F38" s="165">
        <f t="shared" ca="1" si="2"/>
        <v>79539.52451427991</v>
      </c>
      <c r="H38" s="296" t="str">
        <f>IF(AND($J$34,$O$8),"Скидка к ставке за счет субсидирования, %","")</f>
        <v/>
      </c>
      <c r="I38" s="297"/>
      <c r="J38" s="298">
        <v>0</v>
      </c>
      <c r="K38" s="302" t="str">
        <f>IF(AND($J$34,$J$35&lt;&gt;"полный срок"),"Введите вручную","")</f>
        <v/>
      </c>
    </row>
    <row r="39" spans="2:16" x14ac:dyDescent="0.25">
      <c r="B39" s="163">
        <v>32</v>
      </c>
      <c r="C39" s="164">
        <f t="shared" ca="1" si="4"/>
        <v>4493266.1308352435</v>
      </c>
      <c r="D39" s="164">
        <f t="shared" ca="1" si="3"/>
        <v>79783.523274854859</v>
      </c>
      <c r="E39" s="164">
        <f t="shared" ca="1" si="1"/>
        <v>248.31753863711563</v>
      </c>
      <c r="F39" s="165">
        <f t="shared" ca="1" si="2"/>
        <v>79535.205736217744</v>
      </c>
      <c r="H39" s="218" t="str">
        <f>IF(AND($J$34,$O$8),"Скидка к ставке за счет субсидирования, %","")</f>
        <v/>
      </c>
      <c r="I39" s="5"/>
      <c r="J39" s="150">
        <f ca="1">IF(O12=0,"Выберите подходящие параметры",IFERROR(IF(AND($J$34,$O$8,$J$35="полный срок"),IF(O12&gt;J16-0.01%,J16-0.01%,O12),0),"Выберите подходящие параметры"))</f>
        <v>0</v>
      </c>
      <c r="K39" s="302"/>
      <c r="P39" s="522"/>
    </row>
    <row r="40" spans="2:16" x14ac:dyDescent="0.25">
      <c r="B40" s="163">
        <v>33</v>
      </c>
      <c r="C40" s="164">
        <f t="shared" ca="1" si="4"/>
        <v>4493013.4180761725</v>
      </c>
      <c r="D40" s="164">
        <f t="shared" ca="1" si="3"/>
        <v>79783.523274854844</v>
      </c>
      <c r="E40" s="164">
        <f t="shared" ca="1" si="1"/>
        <v>252.7127590709926</v>
      </c>
      <c r="F40" s="165">
        <f t="shared" ca="1" si="2"/>
        <v>79530.810515783858</v>
      </c>
      <c r="H40" s="246" t="str">
        <f>IF(AND($J$34,$O$8),"Ставка для клиента, %","")</f>
        <v/>
      </c>
      <c r="I40" s="247"/>
      <c r="J40" s="248">
        <f ca="1">IF(AND(J34,O8),IFERROR(IF(J16-O5&lt;=0,0.01%,J16-O5),"Выберите подходящие параметры"),J16)</f>
        <v>0.21240000000000001</v>
      </c>
      <c r="K40" s="302"/>
    </row>
    <row r="41" spans="2:16" x14ac:dyDescent="0.25">
      <c r="B41" s="163">
        <v>34</v>
      </c>
      <c r="C41" s="164">
        <f t="shared" ca="1" si="4"/>
        <v>4492756.2323012659</v>
      </c>
      <c r="D41" s="164">
        <f t="shared" ca="1" si="3"/>
        <v>79783.523274854859</v>
      </c>
      <c r="E41" s="164">
        <f t="shared" ca="1" si="1"/>
        <v>257.18577490654923</v>
      </c>
      <c r="F41" s="165">
        <f t="shared" ca="1" si="2"/>
        <v>79526.337499948306</v>
      </c>
      <c r="H41" s="218" t="str">
        <f>IF(AND($J$34,$O$8),"Субсидия от застройщика, руб.","")</f>
        <v/>
      </c>
      <c r="I41" s="5"/>
      <c r="J41" s="219">
        <f>IF(J35=0,0,$J$14*$J$37)</f>
        <v>989868</v>
      </c>
      <c r="K41" s="302"/>
    </row>
    <row r="42" spans="2:16" ht="15" customHeight="1" x14ac:dyDescent="0.25">
      <c r="B42" s="163">
        <v>35</v>
      </c>
      <c r="C42" s="164">
        <f t="shared" ca="1" si="4"/>
        <v>4492494.4943381436</v>
      </c>
      <c r="D42" s="164">
        <f t="shared" ca="1" si="3"/>
        <v>79783.523274854844</v>
      </c>
      <c r="E42" s="164">
        <f t="shared" ca="1" si="1"/>
        <v>261.73796312239523</v>
      </c>
      <c r="F42" s="165">
        <f t="shared" ca="1" si="2"/>
        <v>79521.785311732456</v>
      </c>
      <c r="H42" s="218" t="str">
        <f>IF(AND($J$34,$O$8),"Удорожание","")</f>
        <v/>
      </c>
      <c r="I42" s="5" t="s">
        <v>66</v>
      </c>
      <c r="J42" s="219">
        <f>IF(I42="с сохранением ПВ в руб",J14*J37/(1-J37),($J$10)/(1-($J$37)*(1-$J$11/$J$10))-$J$10)</f>
        <v>1185439.4255480701</v>
      </c>
      <c r="K42" s="302"/>
    </row>
    <row r="43" spans="2:16" ht="15" customHeight="1" x14ac:dyDescent="0.25">
      <c r="B43" s="163">
        <v>36</v>
      </c>
      <c r="C43" s="164">
        <f t="shared" ca="1" si="4"/>
        <v>4492228.1236130735</v>
      </c>
      <c r="D43" s="164">
        <f t="shared" ca="1" si="3"/>
        <v>79783.523274854859</v>
      </c>
      <c r="E43" s="164">
        <f t="shared" ca="1" si="1"/>
        <v>266.37072506966143</v>
      </c>
      <c r="F43" s="165">
        <f t="shared" ca="1" si="2"/>
        <v>79517.152549785198</v>
      </c>
      <c r="H43" s="526" t="str">
        <f>IF(AND($J$34,$O$8),"Ежемесячный платеж" &amp; CHAR(10) &amp; "на период субсидирования, руб.","")</f>
        <v/>
      </c>
      <c r="I43" s="527"/>
      <c r="J43" s="329">
        <f>IF(AND(J34,O8),IFERROR(-PMT($J$40/12,$J$13*12,$J$14),"Выберите подходящие параметры"),0)</f>
        <v>0</v>
      </c>
      <c r="K43" s="302"/>
      <c r="N43" s="454"/>
      <c r="O43" s="468"/>
    </row>
    <row r="44" spans="2:16" ht="15" customHeight="1" x14ac:dyDescent="0.25">
      <c r="B44" s="163">
        <v>37</v>
      </c>
      <c r="C44" s="164">
        <f t="shared" ca="1" si="4"/>
        <v>4491957.0381261697</v>
      </c>
      <c r="D44" s="164">
        <f t="shared" ca="1" si="3"/>
        <v>79783.523274854859</v>
      </c>
      <c r="E44" s="164">
        <f t="shared" ca="1" si="1"/>
        <v>271.08548690339455</v>
      </c>
      <c r="F44" s="165">
        <f t="shared" ca="1" si="2"/>
        <v>79512.437787951465</v>
      </c>
      <c r="H44" s="528"/>
      <c r="I44" s="529"/>
      <c r="J44" s="330"/>
      <c r="K44" s="302"/>
      <c r="N44" s="454"/>
    </row>
    <row r="45" spans="2:16" ht="15" customHeight="1" x14ac:dyDescent="0.25">
      <c r="B45" s="163">
        <v>38</v>
      </c>
      <c r="C45" s="164">
        <f t="shared" ca="1" si="4"/>
        <v>4491681.1544261482</v>
      </c>
      <c r="D45" s="164">
        <f t="shared" ca="1" si="3"/>
        <v>79783.523274854859</v>
      </c>
      <c r="E45" s="164">
        <f t="shared" ca="1" si="1"/>
        <v>275.88370002158467</v>
      </c>
      <c r="F45" s="165">
        <f t="shared" ca="1" si="2"/>
        <v>79507.639574833272</v>
      </c>
      <c r="H45" s="526" t="str">
        <f>IF(AND($J$34,$O$8),"Ежемесячный платеж" &amp; CHAR(10) &amp; "после окончания субсидирования, руб.","")</f>
        <v/>
      </c>
      <c r="I45" s="527"/>
      <c r="J45" s="331" t="str">
        <f>IF(AND(AND($J$34,$O$8),$J$35&gt;0),IFERROR(IF(J35="полный срок","не применимо",-PMT(($O$5+$J$40)/12,J13*12-J35,-FV($J$40/12,J35,-J43,J14))),"Выберите подходящие параметры"),"")</f>
        <v/>
      </c>
      <c r="K45" s="302"/>
      <c r="N45" s="469"/>
      <c r="O45" s="468"/>
    </row>
    <row r="46" spans="2:16" x14ac:dyDescent="0.25">
      <c r="B46" s="163">
        <v>39</v>
      </c>
      <c r="C46" s="164">
        <f t="shared" ca="1" si="4"/>
        <v>4491400.387584636</v>
      </c>
      <c r="D46" s="164">
        <f t="shared" ca="1" si="3"/>
        <v>79783.523274854859</v>
      </c>
      <c r="E46" s="164">
        <f t="shared" ca="1" si="1"/>
        <v>280.76684151196679</v>
      </c>
      <c r="F46" s="165">
        <f t="shared" ca="1" si="2"/>
        <v>79502.756433342889</v>
      </c>
      <c r="H46" s="530"/>
      <c r="I46" s="531"/>
      <c r="J46" s="332"/>
      <c r="K46" s="302"/>
      <c r="N46" s="469"/>
      <c r="O46" s="468"/>
    </row>
    <row r="47" spans="2:16" x14ac:dyDescent="0.25">
      <c r="B47" s="163">
        <v>40</v>
      </c>
      <c r="C47" s="164">
        <f t="shared" ca="1" si="4"/>
        <v>4491114.6511700293</v>
      </c>
      <c r="D47" s="164">
        <f t="shared" ca="1" si="3"/>
        <v>79783.523274854859</v>
      </c>
      <c r="E47" s="164">
        <f t="shared" ca="1" si="1"/>
        <v>285.73641460672837</v>
      </c>
      <c r="F47" s="165">
        <f t="shared" ca="1" si="2"/>
        <v>79497.786860248132</v>
      </c>
      <c r="K47" s="302"/>
      <c r="N47" s="469"/>
      <c r="O47" s="468"/>
    </row>
    <row r="48" spans="2:16" x14ac:dyDescent="0.25">
      <c r="B48" s="163">
        <v>41</v>
      </c>
      <c r="C48" s="164">
        <f t="shared" ca="1" si="4"/>
        <v>4490823.8572208844</v>
      </c>
      <c r="D48" s="164">
        <f t="shared" ca="1" si="3"/>
        <v>79783.523274854859</v>
      </c>
      <c r="E48" s="164">
        <f t="shared" ca="1" si="1"/>
        <v>290.79394914526756</v>
      </c>
      <c r="F48" s="165">
        <f t="shared" ca="1" si="2"/>
        <v>79492.729325709588</v>
      </c>
      <c r="K48" s="302"/>
      <c r="N48" s="469"/>
      <c r="O48" s="468"/>
    </row>
    <row r="49" spans="2:15" x14ac:dyDescent="0.25">
      <c r="B49" s="163">
        <v>42</v>
      </c>
      <c r="C49" s="164">
        <f t="shared" ca="1" si="4"/>
        <v>4490527.9162188396</v>
      </c>
      <c r="D49" s="164">
        <f t="shared" ca="1" si="3"/>
        <v>79783.523274854859</v>
      </c>
      <c r="E49" s="164">
        <f t="shared" ca="1" si="1"/>
        <v>295.94100204513887</v>
      </c>
      <c r="F49" s="165">
        <f t="shared" ca="1" si="2"/>
        <v>79487.582272809726</v>
      </c>
      <c r="K49" s="302"/>
      <c r="N49" s="469"/>
      <c r="O49" s="468"/>
    </row>
    <row r="50" spans="2:15" x14ac:dyDescent="0.25">
      <c r="B50" s="163">
        <v>43</v>
      </c>
      <c r="C50" s="164">
        <f t="shared" ca="1" si="4"/>
        <v>4490226.7370610582</v>
      </c>
      <c r="D50" s="164">
        <f t="shared" ca="1" si="3"/>
        <v>79783.523274854859</v>
      </c>
      <c r="E50" s="164">
        <f t="shared" ca="1" si="1"/>
        <v>301.17915778133766</v>
      </c>
      <c r="F50" s="165">
        <f t="shared" ca="1" si="2"/>
        <v>79482.344117073517</v>
      </c>
      <c r="K50" s="302"/>
      <c r="N50" s="469"/>
      <c r="O50" s="468"/>
    </row>
    <row r="51" spans="2:15" x14ac:dyDescent="0.25">
      <c r="B51" s="163">
        <v>44</v>
      </c>
      <c r="C51" s="164">
        <f t="shared" ca="1" si="4"/>
        <v>4489920.2270321837</v>
      </c>
      <c r="D51" s="164">
        <f t="shared" ca="1" si="3"/>
        <v>79783.523274854844</v>
      </c>
      <c r="E51" s="164">
        <f t="shared" ca="1" si="1"/>
        <v>306.51002887406742</v>
      </c>
      <c r="F51" s="165">
        <f t="shared" ca="1" si="2"/>
        <v>79477.013245980779</v>
      </c>
      <c r="K51" s="302"/>
      <c r="N51" s="469"/>
      <c r="O51" s="468"/>
    </row>
    <row r="52" spans="2:15" x14ac:dyDescent="0.25">
      <c r="B52" s="163">
        <v>45</v>
      </c>
      <c r="C52" s="164">
        <f t="shared" ca="1" si="4"/>
        <v>4489608.2917757984</v>
      </c>
      <c r="D52" s="164">
        <f t="shared" ca="1" si="3"/>
        <v>79783.523274854859</v>
      </c>
      <c r="E52" s="164">
        <f t="shared" ca="1" si="1"/>
        <v>311.93525638513842</v>
      </c>
      <c r="F52" s="165">
        <f t="shared" ca="1" si="2"/>
        <v>79471.588018469716</v>
      </c>
      <c r="K52" s="302"/>
      <c r="N52" s="469"/>
      <c r="O52" s="468"/>
    </row>
    <row r="53" spans="2:15" x14ac:dyDescent="0.25">
      <c r="B53" s="163">
        <v>46</v>
      </c>
      <c r="C53" s="164">
        <f t="shared" ca="1" si="4"/>
        <v>4489290.8352653757</v>
      </c>
      <c r="D53" s="164">
        <f t="shared" ca="1" si="3"/>
        <v>79783.523274854859</v>
      </c>
      <c r="E53" s="164">
        <f t="shared" ca="1" si="1"/>
        <v>317.45651042315552</v>
      </c>
      <c r="F53" s="165">
        <f t="shared" ca="1" si="2"/>
        <v>79466.0667644317</v>
      </c>
      <c r="K53" s="302"/>
      <c r="N53" s="469"/>
      <c r="O53" s="468"/>
    </row>
    <row r="54" spans="2:15" x14ac:dyDescent="0.25">
      <c r="B54" s="163">
        <v>47</v>
      </c>
      <c r="C54" s="164">
        <f t="shared" ca="1" si="4"/>
        <v>4488967.7597747184</v>
      </c>
      <c r="D54" s="164">
        <f t="shared" ca="1" si="3"/>
        <v>79783.523274854859</v>
      </c>
      <c r="E54" s="164">
        <f t="shared" ca="1" si="1"/>
        <v>323.0754906576451</v>
      </c>
      <c r="F54" s="165">
        <f t="shared" ca="1" si="2"/>
        <v>79460.447784197211</v>
      </c>
      <c r="K54" s="302"/>
      <c r="N54" s="469"/>
      <c r="O54" s="468"/>
    </row>
    <row r="55" spans="2:15" x14ac:dyDescent="0.25">
      <c r="B55" s="163">
        <v>48</v>
      </c>
      <c r="C55" s="164">
        <f t="shared" ca="1" si="4"/>
        <v>4488638.9658478759</v>
      </c>
      <c r="D55" s="164">
        <f t="shared" ca="1" si="3"/>
        <v>79783.523274854859</v>
      </c>
      <c r="E55" s="164">
        <f t="shared" ca="1" si="1"/>
        <v>328.79392684228554</v>
      </c>
      <c r="F55" s="165">
        <f t="shared" ca="1" si="2"/>
        <v>79454.729348012566</v>
      </c>
      <c r="K55" s="302"/>
      <c r="N55" s="469"/>
      <c r="O55" s="468"/>
    </row>
    <row r="56" spans="2:15" x14ac:dyDescent="0.25">
      <c r="B56" s="163">
        <v>49</v>
      </c>
      <c r="C56" s="164">
        <f t="shared" ca="1" si="4"/>
        <v>4488304.3522685282</v>
      </c>
      <c r="D56" s="164">
        <f t="shared" ca="1" si="3"/>
        <v>79783.523274854844</v>
      </c>
      <c r="E56" s="164">
        <f t="shared" ca="1" si="1"/>
        <v>334.61357934739402</v>
      </c>
      <c r="F56" s="165">
        <f t="shared" ca="1" si="2"/>
        <v>79448.909695507449</v>
      </c>
      <c r="K56" s="302"/>
      <c r="N56" s="469"/>
      <c r="O56" s="468"/>
    </row>
    <row r="57" spans="2:15" x14ac:dyDescent="0.25">
      <c r="B57" s="163">
        <v>50</v>
      </c>
      <c r="C57" s="164">
        <f t="shared" ca="1" si="4"/>
        <v>4487963.8160288259</v>
      </c>
      <c r="D57" s="164">
        <f t="shared" ca="1" si="3"/>
        <v>79783.523274854859</v>
      </c>
      <c r="E57" s="164">
        <f t="shared" ca="1" si="1"/>
        <v>340.53623970184299</v>
      </c>
      <c r="F57" s="165">
        <f t="shared" ca="1" si="2"/>
        <v>79442.987035153012</v>
      </c>
      <c r="K57" s="302"/>
      <c r="N57" s="469"/>
      <c r="O57" s="468"/>
    </row>
    <row r="58" spans="2:15" x14ac:dyDescent="0.25">
      <c r="B58" s="163">
        <v>51</v>
      </c>
      <c r="C58" s="164">
        <f t="shared" ca="1" si="4"/>
        <v>4487617.2522976818</v>
      </c>
      <c r="D58" s="164">
        <f t="shared" ca="1" si="3"/>
        <v>79783.523274854844</v>
      </c>
      <c r="E58" s="164">
        <f t="shared" ca="1" si="1"/>
        <v>346.56373114456534</v>
      </c>
      <c r="F58" s="165">
        <f t="shared" ca="1" si="2"/>
        <v>79436.959543710283</v>
      </c>
      <c r="K58" s="302"/>
      <c r="N58" s="469"/>
      <c r="O58" s="468"/>
    </row>
    <row r="59" spans="2:15" x14ac:dyDescent="0.25">
      <c r="B59" s="163">
        <v>52</v>
      </c>
      <c r="C59" s="164">
        <f t="shared" ca="1" si="4"/>
        <v>4487264.5543884961</v>
      </c>
      <c r="D59" s="164">
        <f t="shared" ca="1" si="3"/>
        <v>79783.523274854859</v>
      </c>
      <c r="E59" s="164">
        <f t="shared" ca="1" si="1"/>
        <v>352.6979091858243</v>
      </c>
      <c r="F59" s="165">
        <f t="shared" ca="1" si="2"/>
        <v>79430.825365669036</v>
      </c>
      <c r="K59" s="302"/>
      <c r="N59" s="469"/>
      <c r="O59" s="468"/>
    </row>
    <row r="60" spans="2:15" x14ac:dyDescent="0.25">
      <c r="B60" s="163">
        <v>53</v>
      </c>
      <c r="C60" s="164">
        <f t="shared" ca="1" si="4"/>
        <v>4486905.6137263179</v>
      </c>
      <c r="D60" s="164">
        <f t="shared" ca="1" si="3"/>
        <v>79783.523274854859</v>
      </c>
      <c r="E60" s="164">
        <f t="shared" ca="1" si="1"/>
        <v>358.9406621784135</v>
      </c>
      <c r="F60" s="165">
        <f t="shared" ca="1" si="2"/>
        <v>79424.582612676444</v>
      </c>
      <c r="K60" s="302"/>
      <c r="N60" s="469"/>
      <c r="O60" s="468"/>
    </row>
    <row r="61" spans="2:15" x14ac:dyDescent="0.25">
      <c r="B61" s="163">
        <v>54</v>
      </c>
      <c r="C61" s="164">
        <f t="shared" ca="1" si="4"/>
        <v>4486540.3198144194</v>
      </c>
      <c r="D61" s="164">
        <f t="shared" ca="1" si="3"/>
        <v>79783.523274854859</v>
      </c>
      <c r="E61" s="164">
        <f t="shared" ca="1" si="1"/>
        <v>365.29391189897149</v>
      </c>
      <c r="F61" s="165">
        <f t="shared" ca="1" si="2"/>
        <v>79418.229362955884</v>
      </c>
      <c r="K61" s="302"/>
      <c r="N61" s="469"/>
      <c r="O61" s="468"/>
    </row>
    <row r="62" spans="2:15" x14ac:dyDescent="0.25">
      <c r="B62" s="163">
        <v>55</v>
      </c>
      <c r="C62" s="164">
        <f t="shared" ca="1" si="4"/>
        <v>4486168.5602002796</v>
      </c>
      <c r="D62" s="164">
        <f t="shared" ca="1" si="3"/>
        <v>79783.523274854844</v>
      </c>
      <c r="E62" s="164">
        <f t="shared" ca="1" si="1"/>
        <v>371.75961413958305</v>
      </c>
      <c r="F62" s="165">
        <f t="shared" ca="1" si="2"/>
        <v>79411.763660715267</v>
      </c>
      <c r="K62" s="302"/>
      <c r="N62" s="469"/>
      <c r="O62" s="468"/>
    </row>
    <row r="63" spans="2:15" x14ac:dyDescent="0.25">
      <c r="B63" s="163">
        <v>56</v>
      </c>
      <c r="C63" s="164">
        <f t="shared" ca="1" si="4"/>
        <v>4485790.2204409698</v>
      </c>
      <c r="D63" s="164">
        <f t="shared" ca="1" si="3"/>
        <v>79783.523274854844</v>
      </c>
      <c r="E63" s="164">
        <f t="shared" ca="1" si="1"/>
        <v>378.33975930985372</v>
      </c>
      <c r="F63" s="165">
        <f t="shared" ca="1" si="2"/>
        <v>79405.183515544995</v>
      </c>
      <c r="K63" s="302"/>
      <c r="N63" s="469"/>
      <c r="O63" s="468"/>
    </row>
    <row r="64" spans="2:15" x14ac:dyDescent="0.25">
      <c r="B64" s="163">
        <v>57</v>
      </c>
      <c r="C64" s="164">
        <f t="shared" ca="1" si="4"/>
        <v>4485405.1840679199</v>
      </c>
      <c r="D64" s="164">
        <f t="shared" ca="1" si="3"/>
        <v>79783.523274854844</v>
      </c>
      <c r="E64" s="164">
        <f t="shared" ca="1" si="1"/>
        <v>385.03637304963826</v>
      </c>
      <c r="F64" s="165">
        <f t="shared" ca="1" si="2"/>
        <v>79398.486901805212</v>
      </c>
      <c r="K64" s="302"/>
      <c r="N64" s="469"/>
      <c r="O64" s="468"/>
    </row>
    <row r="65" spans="2:15" x14ac:dyDescent="0.25">
      <c r="B65" s="163">
        <v>58</v>
      </c>
      <c r="C65" s="164">
        <f t="shared" ca="1" si="4"/>
        <v>4485013.3325510677</v>
      </c>
      <c r="D65" s="164">
        <f t="shared" ca="1" si="3"/>
        <v>79783.523274854859</v>
      </c>
      <c r="E65" s="164">
        <f t="shared" ca="1" si="1"/>
        <v>391.85151685261661</v>
      </c>
      <c r="F65" s="165">
        <f t="shared" ca="1" si="2"/>
        <v>79391.671758002238</v>
      </c>
      <c r="K65" s="302"/>
      <c r="N65" s="469"/>
      <c r="O65" s="468"/>
    </row>
    <row r="66" spans="2:15" x14ac:dyDescent="0.25">
      <c r="B66" s="163">
        <v>59</v>
      </c>
      <c r="C66" s="164">
        <f t="shared" ca="1" si="4"/>
        <v>4484614.5452623665</v>
      </c>
      <c r="D66" s="164">
        <f t="shared" ca="1" si="3"/>
        <v>79783.523274854859</v>
      </c>
      <c r="E66" s="164">
        <f t="shared" ca="1" si="1"/>
        <v>398.78728870090799</v>
      </c>
      <c r="F66" s="165">
        <f t="shared" ca="1" si="2"/>
        <v>79384.735986153944</v>
      </c>
      <c r="K66" s="302"/>
      <c r="N66" s="469"/>
      <c r="O66" s="468"/>
    </row>
    <row r="67" spans="2:15" x14ac:dyDescent="0.25">
      <c r="B67" s="163">
        <v>60</v>
      </c>
      <c r="C67" s="164">
        <f t="shared" ca="1" si="4"/>
        <v>4484208.6994386557</v>
      </c>
      <c r="D67" s="164">
        <f t="shared" ca="1" si="3"/>
        <v>79783.523274854859</v>
      </c>
      <c r="E67" s="164">
        <f t="shared" ca="1" si="1"/>
        <v>405.84582371091409</v>
      </c>
      <c r="F67" s="165">
        <f t="shared" ca="1" si="2"/>
        <v>79377.677451143943</v>
      </c>
      <c r="K67" s="302"/>
      <c r="N67" s="469"/>
      <c r="O67" s="468"/>
    </row>
    <row r="68" spans="2:15" x14ac:dyDescent="0.25">
      <c r="B68" s="163">
        <v>61</v>
      </c>
      <c r="C68" s="164">
        <f t="shared" ca="1" si="4"/>
        <v>4483795.670143865</v>
      </c>
      <c r="D68" s="164">
        <f t="shared" ca="1" si="3"/>
        <v>79783.523274854859</v>
      </c>
      <c r="E68" s="164">
        <f t="shared" ca="1" si="1"/>
        <v>413.02929479059742</v>
      </c>
      <c r="F68" s="165">
        <f t="shared" ca="1" si="2"/>
        <v>79370.493980064261</v>
      </c>
      <c r="K68" s="302"/>
      <c r="N68" s="469"/>
      <c r="O68" s="468"/>
    </row>
    <row r="69" spans="2:15" x14ac:dyDescent="0.25">
      <c r="B69" s="163">
        <v>62</v>
      </c>
      <c r="C69" s="164">
        <f t="shared" ca="1" si="4"/>
        <v>4483375.3302305564</v>
      </c>
      <c r="D69" s="164">
        <f t="shared" ca="1" si="3"/>
        <v>79783.523274854844</v>
      </c>
      <c r="E69" s="164">
        <f t="shared" ca="1" si="1"/>
        <v>420.33991330839075</v>
      </c>
      <c r="F69" s="165">
        <f t="shared" ca="1" si="2"/>
        <v>79363.183361546457</v>
      </c>
      <c r="K69" s="302"/>
      <c r="N69" s="469"/>
      <c r="O69" s="468"/>
    </row>
    <row r="70" spans="2:15" x14ac:dyDescent="0.25">
      <c r="B70" s="163">
        <v>63</v>
      </c>
      <c r="C70" s="164">
        <f t="shared" ca="1" si="4"/>
        <v>4482947.5503007825</v>
      </c>
      <c r="D70" s="164">
        <f t="shared" ca="1" si="3"/>
        <v>79783.523274854859</v>
      </c>
      <c r="E70" s="164">
        <f t="shared" ca="1" si="1"/>
        <v>427.77992977394933</v>
      </c>
      <c r="F70" s="165">
        <f t="shared" ca="1" si="2"/>
        <v>79355.743345080904</v>
      </c>
      <c r="K70" s="302"/>
      <c r="N70" s="469"/>
      <c r="O70" s="468"/>
    </row>
    <row r="71" spans="2:15" x14ac:dyDescent="0.25">
      <c r="B71" s="163">
        <v>64</v>
      </c>
      <c r="C71" s="164">
        <f t="shared" ca="1" si="4"/>
        <v>4482512.1986662513</v>
      </c>
      <c r="D71" s="164">
        <f t="shared" ca="1" si="3"/>
        <v>79783.523274854844</v>
      </c>
      <c r="E71" s="164">
        <f t="shared" ca="1" si="1"/>
        <v>435.35163453094833</v>
      </c>
      <c r="F71" s="165">
        <f t="shared" ca="1" si="2"/>
        <v>79348.171640323897</v>
      </c>
      <c r="K71" s="302"/>
      <c r="N71" s="469"/>
      <c r="O71" s="468"/>
    </row>
    <row r="72" spans="2:15" x14ac:dyDescent="0.25">
      <c r="B72" s="163">
        <v>65</v>
      </c>
      <c r="C72" s="164">
        <f t="shared" ca="1" si="4"/>
        <v>4482069.1413077889</v>
      </c>
      <c r="D72" s="164">
        <f t="shared" ca="1" si="3"/>
        <v>79783.523274854859</v>
      </c>
      <c r="E72" s="164">
        <f t="shared" ref="E72:E135" ca="1" si="5">-IFERROR(IF(OR(B72&lt;=$J$35,$J$35=0),PPMT($J$40/12,B72,$J$13*12,$J$14),PPMT(($O$5+$J$40)/12,B72-$J$35,$J$13*12-$J$35,$J$14+CUMPRINC($J$40/12,$J$13*12,$J$14,1,$J$35,0))),0)</f>
        <v>443.05735846214623</v>
      </c>
      <c r="F72" s="165">
        <f t="shared" ref="F72:F135" ca="1" si="6">-IF(AND($O$8,B72&lt;=$J$25,$J$24),IF($H$25="Без процентов",0,0.5),1)*IFERROR(IF(OR(B72&lt;=$J$35,$J$35=0),IPMT($J$40/12,B72,$J$13*12,$J$14),IPMT(($O$5+$J$40)/12,B72-$J$35,$J$13*12-$J$35,$J$14+CUMPRINC($J$40/12,$J$13*12,$J$14,1,$J$35,0),0,0)),0)</f>
        <v>79340.465916392714</v>
      </c>
      <c r="K72" s="302"/>
      <c r="N72" s="469"/>
      <c r="O72" s="468"/>
    </row>
    <row r="73" spans="2:15" x14ac:dyDescent="0.25">
      <c r="B73" s="163">
        <v>66</v>
      </c>
      <c r="C73" s="164">
        <f t="shared" ca="1" si="4"/>
        <v>4481618.2418340817</v>
      </c>
      <c r="D73" s="164">
        <f t="shared" ref="D73:D136" ca="1" si="7">E73+F73</f>
        <v>79783.523274854859</v>
      </c>
      <c r="E73" s="164">
        <f t="shared" ca="1" si="5"/>
        <v>450.89947370692596</v>
      </c>
      <c r="F73" s="165">
        <f t="shared" ca="1" si="6"/>
        <v>79332.623801147929</v>
      </c>
      <c r="K73" s="302"/>
      <c r="N73" s="469"/>
      <c r="O73" s="468"/>
    </row>
    <row r="74" spans="2:15" x14ac:dyDescent="0.25">
      <c r="B74" s="163">
        <v>67</v>
      </c>
      <c r="C74" s="164">
        <f t="shared" ca="1" si="4"/>
        <v>4481159.36143969</v>
      </c>
      <c r="D74" s="164">
        <f t="shared" ca="1" si="7"/>
        <v>79783.523274854859</v>
      </c>
      <c r="E74" s="164">
        <f t="shared" ca="1" si="5"/>
        <v>458.88039439153869</v>
      </c>
      <c r="F74" s="165">
        <f t="shared" ca="1" si="6"/>
        <v>79324.642880463318</v>
      </c>
      <c r="K74" s="302"/>
      <c r="N74" s="469"/>
      <c r="O74" s="468"/>
    </row>
    <row r="75" spans="2:15" x14ac:dyDescent="0.25">
      <c r="B75" s="163">
        <v>68</v>
      </c>
      <c r="C75" s="164">
        <f t="shared" ca="1" si="4"/>
        <v>4480692.3588623181</v>
      </c>
      <c r="D75" s="164">
        <f t="shared" ca="1" si="7"/>
        <v>79783.523274854859</v>
      </c>
      <c r="E75" s="164">
        <f t="shared" ca="1" si="5"/>
        <v>467.00257737226895</v>
      </c>
      <c r="F75" s="165">
        <f t="shared" ca="1" si="6"/>
        <v>79316.520697482585</v>
      </c>
      <c r="K75" s="302"/>
      <c r="N75" s="469"/>
      <c r="O75" s="468"/>
    </row>
    <row r="76" spans="2:15" x14ac:dyDescent="0.25">
      <c r="B76" s="163">
        <v>69</v>
      </c>
      <c r="C76" s="164">
        <f t="shared" ca="1" si="4"/>
        <v>4480217.0903393263</v>
      </c>
      <c r="D76" s="164">
        <f t="shared" ca="1" si="7"/>
        <v>79783.523274854859</v>
      </c>
      <c r="E76" s="164">
        <f t="shared" ca="1" si="5"/>
        <v>475.26852299175823</v>
      </c>
      <c r="F76" s="165">
        <f t="shared" ca="1" si="6"/>
        <v>79308.254751863104</v>
      </c>
      <c r="K76" s="302"/>
      <c r="N76" s="469"/>
      <c r="O76" s="468"/>
    </row>
    <row r="77" spans="2:15" x14ac:dyDescent="0.25">
      <c r="B77" s="163">
        <v>70</v>
      </c>
      <c r="C77" s="164">
        <f t="shared" ca="1" si="4"/>
        <v>4479733.4095634772</v>
      </c>
      <c r="D77" s="164">
        <f t="shared" ca="1" si="7"/>
        <v>79783.523274854859</v>
      </c>
      <c r="E77" s="164">
        <f t="shared" ca="1" si="5"/>
        <v>483.68077584871202</v>
      </c>
      <c r="F77" s="165">
        <f t="shared" ca="1" si="6"/>
        <v>79299.842499006147</v>
      </c>
      <c r="K77" s="302"/>
      <c r="N77" s="469"/>
      <c r="O77" s="468"/>
    </row>
    <row r="78" spans="2:15" x14ac:dyDescent="0.25">
      <c r="B78" s="163">
        <v>71</v>
      </c>
      <c r="C78" s="164">
        <f t="shared" ca="1" si="4"/>
        <v>4479241.1676378958</v>
      </c>
      <c r="D78" s="164">
        <f t="shared" ca="1" si="7"/>
        <v>79783.523274854844</v>
      </c>
      <c r="E78" s="164">
        <f t="shared" ca="1" si="5"/>
        <v>492.24192558123434</v>
      </c>
      <c r="F78" s="165">
        <f t="shared" ca="1" si="6"/>
        <v>79291.281349273617</v>
      </c>
      <c r="K78" s="302"/>
      <c r="N78" s="469"/>
      <c r="O78" s="468"/>
    </row>
    <row r="79" spans="2:15" x14ac:dyDescent="0.25">
      <c r="B79" s="163">
        <v>72</v>
      </c>
      <c r="C79" s="164">
        <f t="shared" ca="1" si="4"/>
        <v>4478740.2130302321</v>
      </c>
      <c r="D79" s="164">
        <f t="shared" ca="1" si="7"/>
        <v>79783.523274854844</v>
      </c>
      <c r="E79" s="164">
        <f t="shared" ca="1" si="5"/>
        <v>500.95460766402232</v>
      </c>
      <c r="F79" s="165">
        <f t="shared" ca="1" si="6"/>
        <v>79282.568667190819</v>
      </c>
      <c r="K79" s="302"/>
      <c r="N79" s="469"/>
      <c r="O79" s="468"/>
    </row>
    <row r="80" spans="2:15" x14ac:dyDescent="0.25">
      <c r="B80" s="163">
        <v>73</v>
      </c>
      <c r="C80" s="164">
        <f t="shared" ca="1" si="4"/>
        <v>4478230.3915260127</v>
      </c>
      <c r="D80" s="164">
        <f t="shared" ca="1" si="7"/>
        <v>79783.523274854844</v>
      </c>
      <c r="E80" s="164">
        <f t="shared" ca="1" si="5"/>
        <v>509.82150421967521</v>
      </c>
      <c r="F80" s="165">
        <f t="shared" ca="1" si="6"/>
        <v>79273.701770635176</v>
      </c>
      <c r="K80" s="302"/>
      <c r="N80" s="469"/>
      <c r="O80" s="468"/>
    </row>
    <row r="81" spans="2:15" x14ac:dyDescent="0.25">
      <c r="B81" s="163">
        <v>74</v>
      </c>
      <c r="C81" s="164">
        <f t="shared" ca="1" si="4"/>
        <v>4477711.5461811684</v>
      </c>
      <c r="D81" s="164">
        <f t="shared" ca="1" si="7"/>
        <v>79783.523274854859</v>
      </c>
      <c r="E81" s="164">
        <f t="shared" ca="1" si="5"/>
        <v>518.84534484436358</v>
      </c>
      <c r="F81" s="165">
        <f t="shared" ca="1" si="6"/>
        <v>79264.677930010497</v>
      </c>
      <c r="K81" s="302"/>
      <c r="N81" s="469"/>
      <c r="O81" s="468"/>
    </row>
    <row r="82" spans="2:15" x14ac:dyDescent="0.25">
      <c r="B82" s="163">
        <v>75</v>
      </c>
      <c r="C82" s="164">
        <f t="shared" ca="1" si="4"/>
        <v>4477183.5172737204</v>
      </c>
      <c r="D82" s="164">
        <f t="shared" ca="1" si="7"/>
        <v>79783.523274854859</v>
      </c>
      <c r="E82" s="164">
        <f t="shared" ca="1" si="5"/>
        <v>528.02890744810895</v>
      </c>
      <c r="F82" s="165">
        <f t="shared" ca="1" si="6"/>
        <v>79255.494367406747</v>
      </c>
      <c r="K82" s="302"/>
      <c r="N82" s="469"/>
      <c r="O82" s="468"/>
    </row>
    <row r="83" spans="2:15" x14ac:dyDescent="0.25">
      <c r="B83" s="163">
        <v>76</v>
      </c>
      <c r="C83" s="164">
        <f t="shared" ca="1" si="4"/>
        <v>4476646.1422546105</v>
      </c>
      <c r="D83" s="164">
        <f t="shared" ca="1" si="7"/>
        <v>79783.523274854859</v>
      </c>
      <c r="E83" s="164">
        <f t="shared" ca="1" si="5"/>
        <v>537.37501910994058</v>
      </c>
      <c r="F83" s="165">
        <f t="shared" ca="1" si="6"/>
        <v>79246.14825574492</v>
      </c>
      <c r="K83" s="302"/>
      <c r="N83" s="469"/>
      <c r="O83" s="468"/>
    </row>
    <row r="84" spans="2:15" x14ac:dyDescent="0.25">
      <c r="B84" s="163">
        <v>77</v>
      </c>
      <c r="C84" s="164">
        <f t="shared" ca="1" si="4"/>
        <v>4476099.255697662</v>
      </c>
      <c r="D84" s="164">
        <f t="shared" ca="1" si="7"/>
        <v>79783.523274854859</v>
      </c>
      <c r="E84" s="164">
        <f t="shared" ca="1" si="5"/>
        <v>546.88655694818624</v>
      </c>
      <c r="F84" s="165">
        <f t="shared" ca="1" si="6"/>
        <v>79236.636717906673</v>
      </c>
      <c r="K84" s="302"/>
      <c r="N84" s="469"/>
      <c r="O84" s="468"/>
    </row>
    <row r="85" spans="2:15" x14ac:dyDescent="0.25">
      <c r="B85" s="163">
        <v>78</v>
      </c>
      <c r="C85" s="164">
        <f t="shared" ref="C85:C148" ca="1" si="8">C84-E85</f>
        <v>4475542.6892486559</v>
      </c>
      <c r="D85" s="164">
        <f t="shared" ca="1" si="7"/>
        <v>79783.523274854859</v>
      </c>
      <c r="E85" s="164">
        <f t="shared" ca="1" si="5"/>
        <v>556.56644900616914</v>
      </c>
      <c r="F85" s="165">
        <f t="shared" ca="1" si="6"/>
        <v>79226.956825848683</v>
      </c>
      <c r="K85" s="302"/>
      <c r="N85" s="469"/>
      <c r="O85" s="468"/>
    </row>
    <row r="86" spans="2:15" x14ac:dyDescent="0.25">
      <c r="B86" s="163">
        <v>79</v>
      </c>
      <c r="C86" s="164">
        <f t="shared" ca="1" si="8"/>
        <v>4474976.2715735026</v>
      </c>
      <c r="D86" s="164">
        <f t="shared" ca="1" si="7"/>
        <v>79783.523274854859</v>
      </c>
      <c r="E86" s="164">
        <f t="shared" ca="1" si="5"/>
        <v>566.41767515357856</v>
      </c>
      <c r="F86" s="165">
        <f t="shared" ca="1" si="6"/>
        <v>79217.105599701274</v>
      </c>
      <c r="K86" s="302"/>
      <c r="N86" s="469"/>
      <c r="O86" s="468"/>
    </row>
    <row r="87" spans="2:15" x14ac:dyDescent="0.25">
      <c r="B87" s="163">
        <v>80</v>
      </c>
      <c r="C87" s="164">
        <f t="shared" ca="1" si="8"/>
        <v>4474399.8283054987</v>
      </c>
      <c r="D87" s="164">
        <f t="shared" ca="1" si="7"/>
        <v>79783.523274854859</v>
      </c>
      <c r="E87" s="164">
        <f t="shared" ca="1" si="5"/>
        <v>576.44326800379702</v>
      </c>
      <c r="F87" s="165">
        <f t="shared" ca="1" si="6"/>
        <v>79207.080006851058</v>
      </c>
      <c r="K87" s="302"/>
      <c r="N87" s="469"/>
      <c r="O87" s="468"/>
    </row>
    <row r="88" spans="2:15" x14ac:dyDescent="0.25">
      <c r="B88" s="163">
        <v>81</v>
      </c>
      <c r="C88" s="164">
        <f t="shared" ca="1" si="8"/>
        <v>4473813.1819916517</v>
      </c>
      <c r="D88" s="164">
        <f t="shared" ca="1" si="7"/>
        <v>79783.523274854859</v>
      </c>
      <c r="E88" s="164">
        <f t="shared" ca="1" si="5"/>
        <v>586.64631384746383</v>
      </c>
      <c r="F88" s="165">
        <f t="shared" ca="1" si="6"/>
        <v>79196.876961007394</v>
      </c>
      <c r="K88" s="302"/>
      <c r="N88" s="469"/>
      <c r="O88" s="468"/>
    </row>
    <row r="89" spans="2:15" x14ac:dyDescent="0.25">
      <c r="B89" s="163">
        <v>82</v>
      </c>
      <c r="C89" s="164">
        <f t="shared" ca="1" si="8"/>
        <v>4473216.152038049</v>
      </c>
      <c r="D89" s="164">
        <f t="shared" ca="1" si="7"/>
        <v>79783.523274854873</v>
      </c>
      <c r="E89" s="164">
        <f t="shared" ca="1" si="5"/>
        <v>597.02995360256409</v>
      </c>
      <c r="F89" s="165">
        <f t="shared" ca="1" si="6"/>
        <v>79186.493321252303</v>
      </c>
      <c r="K89" s="302"/>
      <c r="N89" s="469"/>
      <c r="O89" s="468"/>
    </row>
    <row r="90" spans="2:15" x14ac:dyDescent="0.25">
      <c r="B90" s="163">
        <v>83</v>
      </c>
      <c r="C90" s="164">
        <f t="shared" ca="1" si="8"/>
        <v>4472608.5546542676</v>
      </c>
      <c r="D90" s="164">
        <f t="shared" ca="1" si="7"/>
        <v>79783.523274854859</v>
      </c>
      <c r="E90" s="164">
        <f t="shared" ca="1" si="5"/>
        <v>607.59738378132965</v>
      </c>
      <c r="F90" s="165">
        <f t="shared" ca="1" si="6"/>
        <v>79175.925891073523</v>
      </c>
      <c r="K90" s="302"/>
      <c r="N90" s="469"/>
      <c r="O90" s="468"/>
    </row>
    <row r="91" spans="2:15" x14ac:dyDescent="0.25">
      <c r="B91" s="163">
        <v>84</v>
      </c>
      <c r="C91" s="164">
        <f t="shared" ca="1" si="8"/>
        <v>4471990.2027967935</v>
      </c>
      <c r="D91" s="164">
        <f t="shared" ca="1" si="7"/>
        <v>79783.523274854873</v>
      </c>
      <c r="E91" s="164">
        <f t="shared" ca="1" si="5"/>
        <v>618.3518574742593</v>
      </c>
      <c r="F91" s="165">
        <f t="shared" ca="1" si="6"/>
        <v>79165.17141738061</v>
      </c>
      <c r="K91" s="302"/>
      <c r="N91" s="469"/>
      <c r="O91" s="468"/>
    </row>
    <row r="92" spans="2:15" x14ac:dyDescent="0.25">
      <c r="B92" s="163">
        <v>85</v>
      </c>
      <c r="C92" s="164">
        <f t="shared" ca="1" si="8"/>
        <v>4471360.9061114416</v>
      </c>
      <c r="D92" s="164">
        <f t="shared" ca="1" si="7"/>
        <v>79783.523274854844</v>
      </c>
      <c r="E92" s="164">
        <f t="shared" ca="1" si="5"/>
        <v>629.29668535155315</v>
      </c>
      <c r="F92" s="165">
        <f t="shared" ca="1" si="6"/>
        <v>79154.226589503291</v>
      </c>
      <c r="K92" s="302"/>
      <c r="N92" s="469"/>
      <c r="O92" s="468"/>
    </row>
    <row r="93" spans="2:15" x14ac:dyDescent="0.25">
      <c r="B93" s="163">
        <v>86</v>
      </c>
      <c r="C93" s="164">
        <f t="shared" ca="1" si="8"/>
        <v>4470720.4708747594</v>
      </c>
      <c r="D93" s="164">
        <f t="shared" ca="1" si="7"/>
        <v>79783.523274854859</v>
      </c>
      <c r="E93" s="164">
        <f t="shared" ca="1" si="5"/>
        <v>640.43523668227601</v>
      </c>
      <c r="F93" s="165">
        <f t="shared" ca="1" si="6"/>
        <v>79143.088038172587</v>
      </c>
      <c r="K93" s="302"/>
      <c r="N93" s="469"/>
      <c r="O93" s="468"/>
    </row>
    <row r="94" spans="2:15" x14ac:dyDescent="0.25">
      <c r="B94" s="163">
        <v>87</v>
      </c>
      <c r="C94" s="164">
        <f t="shared" ca="1" si="8"/>
        <v>4470068.6999343876</v>
      </c>
      <c r="D94" s="164">
        <f t="shared" ca="1" si="7"/>
        <v>79783.523274854844</v>
      </c>
      <c r="E94" s="164">
        <f t="shared" ca="1" si="5"/>
        <v>651.77094037155246</v>
      </c>
      <c r="F94" s="165">
        <f t="shared" ca="1" si="6"/>
        <v>79131.752334483288</v>
      </c>
      <c r="K94" s="302"/>
      <c r="N94" s="469"/>
      <c r="O94" s="468"/>
    </row>
    <row r="95" spans="2:15" x14ac:dyDescent="0.25">
      <c r="B95" s="163">
        <v>88</v>
      </c>
      <c r="C95" s="164">
        <f t="shared" ca="1" si="8"/>
        <v>4469405.3926483719</v>
      </c>
      <c r="D95" s="164">
        <f t="shared" ca="1" si="7"/>
        <v>79783.523274854859</v>
      </c>
      <c r="E95" s="164">
        <f t="shared" ca="1" si="5"/>
        <v>663.30728601612896</v>
      </c>
      <c r="F95" s="165">
        <f t="shared" ca="1" si="6"/>
        <v>79120.215988838725</v>
      </c>
      <c r="K95" s="302"/>
      <c r="N95" s="469"/>
      <c r="O95" s="468"/>
    </row>
    <row r="96" spans="2:15" x14ac:dyDescent="0.25">
      <c r="B96" s="163">
        <v>89</v>
      </c>
      <c r="C96" s="164">
        <f t="shared" ca="1" si="8"/>
        <v>4468730.344823393</v>
      </c>
      <c r="D96" s="164">
        <f t="shared" ca="1" si="7"/>
        <v>79783.523274854859</v>
      </c>
      <c r="E96" s="164">
        <f t="shared" ca="1" si="5"/>
        <v>675.04782497861402</v>
      </c>
      <c r="F96" s="165">
        <f t="shared" ca="1" si="6"/>
        <v>79108.475449876249</v>
      </c>
      <c r="K96" s="302"/>
      <c r="N96" s="469"/>
      <c r="O96" s="468"/>
    </row>
    <row r="97" spans="2:15" x14ac:dyDescent="0.25">
      <c r="B97" s="163">
        <v>90</v>
      </c>
      <c r="C97" s="164">
        <f t="shared" ca="1" si="8"/>
        <v>4468043.3486519121</v>
      </c>
      <c r="D97" s="164">
        <f t="shared" ca="1" si="7"/>
        <v>79783.523274854859</v>
      </c>
      <c r="E97" s="164">
        <f t="shared" ca="1" si="5"/>
        <v>686.99617148073571</v>
      </c>
      <c r="F97" s="165">
        <f t="shared" ca="1" si="6"/>
        <v>79096.52710337413</v>
      </c>
      <c r="K97" s="302"/>
      <c r="N97" s="469"/>
      <c r="O97" s="468"/>
    </row>
    <row r="98" spans="2:15" x14ac:dyDescent="0.25">
      <c r="B98" s="163">
        <v>91</v>
      </c>
      <c r="C98" s="164">
        <f t="shared" ca="1" si="8"/>
        <v>4467344.1926481957</v>
      </c>
      <c r="D98" s="164">
        <f t="shared" ca="1" si="7"/>
        <v>79783.523274854859</v>
      </c>
      <c r="E98" s="164">
        <f t="shared" ca="1" si="5"/>
        <v>699.15600371594485</v>
      </c>
      <c r="F98" s="165">
        <f t="shared" ca="1" si="6"/>
        <v>79084.367271138908</v>
      </c>
      <c r="K98" s="302"/>
      <c r="N98" s="469"/>
      <c r="O98" s="468"/>
    </row>
    <row r="99" spans="2:15" x14ac:dyDescent="0.25">
      <c r="B99" s="163">
        <v>92</v>
      </c>
      <c r="C99" s="164">
        <f t="shared" ca="1" si="8"/>
        <v>4466632.6615832141</v>
      </c>
      <c r="D99" s="164">
        <f t="shared" ca="1" si="7"/>
        <v>79783.523274854844</v>
      </c>
      <c r="E99" s="164">
        <f t="shared" ca="1" si="5"/>
        <v>711.53106498171667</v>
      </c>
      <c r="F99" s="165">
        <f t="shared" ca="1" si="6"/>
        <v>79071.992209873133</v>
      </c>
      <c r="K99" s="302"/>
      <c r="N99" s="469"/>
      <c r="O99" s="468"/>
    </row>
    <row r="100" spans="2:15" x14ac:dyDescent="0.25">
      <c r="B100" s="163">
        <v>93</v>
      </c>
      <c r="C100" s="164">
        <f t="shared" ca="1" si="8"/>
        <v>4465908.5364183821</v>
      </c>
      <c r="D100" s="164">
        <f t="shared" ca="1" si="7"/>
        <v>79783.523274854844</v>
      </c>
      <c r="E100" s="164">
        <f t="shared" ca="1" si="5"/>
        <v>724.12516483189313</v>
      </c>
      <c r="F100" s="165">
        <f t="shared" ca="1" si="6"/>
        <v>79059.398110022958</v>
      </c>
      <c r="K100" s="302"/>
      <c r="N100" s="469"/>
      <c r="O100" s="468"/>
    </row>
    <row r="101" spans="2:15" x14ac:dyDescent="0.25">
      <c r="B101" s="163">
        <v>94</v>
      </c>
      <c r="C101" s="164">
        <f t="shared" ca="1" si="8"/>
        <v>4465171.5942381322</v>
      </c>
      <c r="D101" s="164">
        <f t="shared" ca="1" si="7"/>
        <v>79783.523274854844</v>
      </c>
      <c r="E101" s="164">
        <f t="shared" ca="1" si="5"/>
        <v>736.94218024941779</v>
      </c>
      <c r="F101" s="165">
        <f t="shared" ca="1" si="6"/>
        <v>79046.581094605426</v>
      </c>
      <c r="N101" s="469"/>
      <c r="O101" s="468"/>
    </row>
    <row r="102" spans="2:15" x14ac:dyDescent="0.25">
      <c r="B102" s="163">
        <v>95</v>
      </c>
      <c r="C102" s="164">
        <f t="shared" ca="1" si="8"/>
        <v>4464421.6081812922</v>
      </c>
      <c r="D102" s="164">
        <f t="shared" ca="1" si="7"/>
        <v>79783.523274854859</v>
      </c>
      <c r="E102" s="164">
        <f t="shared" ca="1" si="5"/>
        <v>749.98605683983271</v>
      </c>
      <c r="F102" s="165">
        <f t="shared" ca="1" si="6"/>
        <v>79033.53721801503</v>
      </c>
      <c r="N102" s="469"/>
      <c r="O102" s="468"/>
    </row>
    <row r="103" spans="2:15" x14ac:dyDescent="0.25">
      <c r="B103" s="163">
        <v>96</v>
      </c>
      <c r="C103" s="164">
        <f t="shared" ca="1" si="8"/>
        <v>4463658.3473712467</v>
      </c>
      <c r="D103" s="164">
        <f t="shared" ca="1" si="7"/>
        <v>79783.523274854859</v>
      </c>
      <c r="E103" s="164">
        <f t="shared" ca="1" si="5"/>
        <v>763.2608100458973</v>
      </c>
      <c r="F103" s="165">
        <f t="shared" ca="1" si="6"/>
        <v>79020.262464808955</v>
      </c>
      <c r="N103" s="469"/>
      <c r="O103" s="468"/>
    </row>
    <row r="104" spans="2:15" x14ac:dyDescent="0.25">
      <c r="B104" s="163">
        <v>97</v>
      </c>
      <c r="C104" s="164">
        <f t="shared" ca="1" si="8"/>
        <v>4462881.5768448627</v>
      </c>
      <c r="D104" s="164">
        <f t="shared" ca="1" si="7"/>
        <v>79783.523274854859</v>
      </c>
      <c r="E104" s="164">
        <f t="shared" ca="1" si="5"/>
        <v>776.77052638370992</v>
      </c>
      <c r="F104" s="165">
        <f t="shared" ca="1" si="6"/>
        <v>79006.752748471146</v>
      </c>
      <c r="N104" s="469"/>
      <c r="O104" s="468"/>
    </row>
    <row r="105" spans="2:15" x14ac:dyDescent="0.25">
      <c r="B105" s="163">
        <v>98</v>
      </c>
      <c r="C105" s="164">
        <f t="shared" ca="1" si="8"/>
        <v>4462091.057480162</v>
      </c>
      <c r="D105" s="164">
        <f t="shared" ca="1" si="7"/>
        <v>79783.523274854844</v>
      </c>
      <c r="E105" s="164">
        <f t="shared" ca="1" si="5"/>
        <v>790.51936470070177</v>
      </c>
      <c r="F105" s="165">
        <f t="shared" ca="1" si="6"/>
        <v>78993.003910154148</v>
      </c>
      <c r="N105" s="469"/>
      <c r="O105" s="468"/>
    </row>
    <row r="106" spans="2:15" x14ac:dyDescent="0.25">
      <c r="B106" s="163">
        <v>99</v>
      </c>
      <c r="C106" s="164">
        <f t="shared" ca="1" si="8"/>
        <v>4461286.5459227059</v>
      </c>
      <c r="D106" s="164">
        <f t="shared" ca="1" si="7"/>
        <v>79783.523274854859</v>
      </c>
      <c r="E106" s="164">
        <f t="shared" ca="1" si="5"/>
        <v>804.51155745590427</v>
      </c>
      <c r="F106" s="165">
        <f t="shared" ca="1" si="6"/>
        <v>78979.011717398957</v>
      </c>
      <c r="N106" s="469"/>
      <c r="O106" s="468"/>
    </row>
    <row r="107" spans="2:15" x14ac:dyDescent="0.25">
      <c r="B107" s="163">
        <v>100</v>
      </c>
      <c r="C107" s="164">
        <f t="shared" ca="1" si="8"/>
        <v>4460467.794510683</v>
      </c>
      <c r="D107" s="164">
        <f t="shared" ca="1" si="7"/>
        <v>79783.523274854859</v>
      </c>
      <c r="E107" s="164">
        <f t="shared" ca="1" si="5"/>
        <v>818.75141202287307</v>
      </c>
      <c r="F107" s="165">
        <f t="shared" ca="1" si="6"/>
        <v>78964.771862831985</v>
      </c>
      <c r="N107" s="469"/>
      <c r="O107" s="468"/>
    </row>
    <row r="108" spans="2:15" x14ac:dyDescent="0.25">
      <c r="B108" s="163">
        <v>101</v>
      </c>
      <c r="C108" s="164">
        <f t="shared" ca="1" si="8"/>
        <v>4459634.5511986669</v>
      </c>
      <c r="D108" s="164">
        <f t="shared" ca="1" si="7"/>
        <v>79783.523274854859</v>
      </c>
      <c r="E108" s="164">
        <f t="shared" ca="1" si="5"/>
        <v>833.24331201567838</v>
      </c>
      <c r="F108" s="165">
        <f t="shared" ca="1" si="6"/>
        <v>78950.27996283918</v>
      </c>
      <c r="N108" s="469"/>
      <c r="O108" s="468"/>
    </row>
    <row r="109" spans="2:15" x14ac:dyDescent="0.25">
      <c r="B109" s="163">
        <v>102</v>
      </c>
      <c r="C109" s="164">
        <f t="shared" ca="1" si="8"/>
        <v>4458786.5594800282</v>
      </c>
      <c r="D109" s="164">
        <f t="shared" ca="1" si="7"/>
        <v>79783.523274854844</v>
      </c>
      <c r="E109" s="164">
        <f t="shared" ca="1" si="5"/>
        <v>847.99171863835602</v>
      </c>
      <c r="F109" s="165">
        <f t="shared" ca="1" si="6"/>
        <v>78935.531556216491</v>
      </c>
      <c r="N109" s="469"/>
      <c r="O109" s="468"/>
    </row>
    <row r="110" spans="2:15" x14ac:dyDescent="0.25">
      <c r="B110" s="163">
        <v>103</v>
      </c>
      <c r="C110" s="164">
        <f t="shared" ca="1" si="8"/>
        <v>4457923.5583079699</v>
      </c>
      <c r="D110" s="164">
        <f t="shared" ca="1" si="7"/>
        <v>79783.523274854859</v>
      </c>
      <c r="E110" s="164">
        <f t="shared" ca="1" si="5"/>
        <v>863.00117205825518</v>
      </c>
      <c r="F110" s="165">
        <f t="shared" ca="1" si="6"/>
        <v>78920.522102796604</v>
      </c>
      <c r="N110" s="469"/>
      <c r="O110" s="468"/>
    </row>
    <row r="111" spans="2:15" x14ac:dyDescent="0.25">
      <c r="B111" s="163">
        <v>104</v>
      </c>
      <c r="C111" s="164">
        <f t="shared" ca="1" si="8"/>
        <v>4457045.2820151662</v>
      </c>
      <c r="D111" s="164">
        <f t="shared" ca="1" si="7"/>
        <v>79783.523274854859</v>
      </c>
      <c r="E111" s="164">
        <f t="shared" ca="1" si="5"/>
        <v>878.27629280368558</v>
      </c>
      <c r="F111" s="165">
        <f t="shared" ca="1" si="6"/>
        <v>78905.246982051176</v>
      </c>
      <c r="N111" s="469"/>
      <c r="O111" s="468"/>
    </row>
    <row r="112" spans="2:15" x14ac:dyDescent="0.25">
      <c r="B112" s="163">
        <v>105</v>
      </c>
      <c r="C112" s="164">
        <f t="shared" ca="1" si="8"/>
        <v>4456151.4602319803</v>
      </c>
      <c r="D112" s="164">
        <f t="shared" ca="1" si="7"/>
        <v>79783.523274854859</v>
      </c>
      <c r="E112" s="164">
        <f t="shared" ca="1" si="5"/>
        <v>893.821783186311</v>
      </c>
      <c r="F112" s="165">
        <f t="shared" ca="1" si="6"/>
        <v>78889.701491668544</v>
      </c>
      <c r="N112" s="469"/>
      <c r="O112" s="468"/>
    </row>
    <row r="113" spans="2:15" x14ac:dyDescent="0.25">
      <c r="B113" s="163">
        <v>106</v>
      </c>
      <c r="C113" s="164">
        <f t="shared" ca="1" si="8"/>
        <v>4455241.817803232</v>
      </c>
      <c r="D113" s="164">
        <f t="shared" ca="1" si="7"/>
        <v>79783.523274854859</v>
      </c>
      <c r="E113" s="164">
        <f t="shared" ca="1" si="5"/>
        <v>909.64242874870899</v>
      </c>
      <c r="F113" s="165">
        <f t="shared" ca="1" si="6"/>
        <v>78873.880846106156</v>
      </c>
      <c r="N113" s="469"/>
      <c r="O113" s="468"/>
    </row>
    <row r="114" spans="2:15" x14ac:dyDescent="0.25">
      <c r="B114" s="163">
        <v>107</v>
      </c>
      <c r="C114" s="164">
        <f t="shared" ca="1" si="8"/>
        <v>4454316.0747034941</v>
      </c>
      <c r="D114" s="164">
        <f t="shared" ca="1" si="7"/>
        <v>79783.523274854859</v>
      </c>
      <c r="E114" s="164">
        <f t="shared" ca="1" si="5"/>
        <v>925.74309973756044</v>
      </c>
      <c r="F114" s="165">
        <f t="shared" ca="1" si="6"/>
        <v>78857.780175117296</v>
      </c>
      <c r="N114" s="469"/>
      <c r="O114" s="468"/>
    </row>
    <row r="115" spans="2:15" x14ac:dyDescent="0.25">
      <c r="B115" s="163">
        <v>108</v>
      </c>
      <c r="C115" s="164">
        <f t="shared" ca="1" si="8"/>
        <v>4453373.9459508909</v>
      </c>
      <c r="D115" s="164">
        <f t="shared" ca="1" si="7"/>
        <v>79783.523274854859</v>
      </c>
      <c r="E115" s="164">
        <f t="shared" ca="1" si="5"/>
        <v>942.1287526029156</v>
      </c>
      <c r="F115" s="165">
        <f t="shared" ca="1" si="6"/>
        <v>78841.39452225194</v>
      </c>
      <c r="N115" s="469"/>
      <c r="O115" s="468"/>
    </row>
    <row r="116" spans="2:15" x14ac:dyDescent="0.25">
      <c r="B116" s="163">
        <v>109</v>
      </c>
      <c r="C116" s="164">
        <f t="shared" ca="1" si="8"/>
        <v>4452415.1415193668</v>
      </c>
      <c r="D116" s="164">
        <f t="shared" ca="1" si="7"/>
        <v>79783.523274854859</v>
      </c>
      <c r="E116" s="164">
        <f t="shared" ca="1" si="5"/>
        <v>958.80443152398743</v>
      </c>
      <c r="F116" s="165">
        <f t="shared" ca="1" si="6"/>
        <v>78824.718843330877</v>
      </c>
      <c r="N116" s="469"/>
      <c r="O116" s="468"/>
    </row>
    <row r="117" spans="2:15" x14ac:dyDescent="0.25">
      <c r="B117" s="163">
        <v>110</v>
      </c>
      <c r="C117" s="164">
        <f t="shared" ca="1" si="8"/>
        <v>4451439.3662494048</v>
      </c>
      <c r="D117" s="164">
        <f t="shared" ca="1" si="7"/>
        <v>79783.523274854859</v>
      </c>
      <c r="E117" s="164">
        <f t="shared" ca="1" si="5"/>
        <v>975.77526996196229</v>
      </c>
      <c r="F117" s="165">
        <f t="shared" ca="1" si="6"/>
        <v>78807.748004892899</v>
      </c>
      <c r="N117" s="469"/>
      <c r="O117" s="468"/>
    </row>
    <row r="118" spans="2:15" x14ac:dyDescent="0.25">
      <c r="B118" s="163">
        <v>111</v>
      </c>
      <c r="C118" s="164">
        <f t="shared" ca="1" si="8"/>
        <v>4450446.3197571645</v>
      </c>
      <c r="D118" s="164">
        <f t="shared" ca="1" si="7"/>
        <v>79783.523274854859</v>
      </c>
      <c r="E118" s="164">
        <f t="shared" ca="1" si="5"/>
        <v>993.04649224028833</v>
      </c>
      <c r="F118" s="165">
        <f t="shared" ca="1" si="6"/>
        <v>78790.476782614569</v>
      </c>
      <c r="N118" s="469"/>
      <c r="O118" s="468"/>
    </row>
    <row r="119" spans="2:15" x14ac:dyDescent="0.25">
      <c r="B119" s="163">
        <v>112</v>
      </c>
      <c r="C119" s="164">
        <f t="shared" ca="1" si="8"/>
        <v>4449435.6963420119</v>
      </c>
      <c r="D119" s="164">
        <f t="shared" ca="1" si="7"/>
        <v>79783.523274854844</v>
      </c>
      <c r="E119" s="164">
        <f t="shared" ca="1" si="5"/>
        <v>1010.6234151529416</v>
      </c>
      <c r="F119" s="165">
        <f t="shared" ca="1" si="6"/>
        <v>78772.899859701909</v>
      </c>
      <c r="N119" s="469"/>
      <c r="O119" s="468"/>
    </row>
    <row r="120" spans="2:15" x14ac:dyDescent="0.25">
      <c r="B120" s="163">
        <v>113</v>
      </c>
      <c r="C120" s="164">
        <f t="shared" ca="1" si="8"/>
        <v>4448407.1848924104</v>
      </c>
      <c r="D120" s="164">
        <f t="shared" ca="1" si="7"/>
        <v>79783.523274854859</v>
      </c>
      <c r="E120" s="164">
        <f t="shared" ca="1" si="5"/>
        <v>1028.5114496011488</v>
      </c>
      <c r="F120" s="165">
        <f t="shared" ca="1" si="6"/>
        <v>78755.011825253707</v>
      </c>
      <c r="N120" s="469"/>
      <c r="O120" s="468"/>
    </row>
    <row r="121" spans="2:15" x14ac:dyDescent="0.25">
      <c r="B121" s="163">
        <v>114</v>
      </c>
      <c r="C121" s="164">
        <f t="shared" ca="1" si="8"/>
        <v>4447360.4687901512</v>
      </c>
      <c r="D121" s="164">
        <f t="shared" ca="1" si="7"/>
        <v>79783.523274854859</v>
      </c>
      <c r="E121" s="164">
        <f t="shared" ca="1" si="5"/>
        <v>1046.7161022590894</v>
      </c>
      <c r="F121" s="165">
        <f t="shared" ca="1" si="6"/>
        <v>78736.807172595771</v>
      </c>
      <c r="N121" s="469"/>
      <c r="O121" s="468"/>
    </row>
    <row r="122" spans="2:15" x14ac:dyDescent="0.25">
      <c r="B122" s="163">
        <v>115</v>
      </c>
      <c r="C122" s="164">
        <f t="shared" ca="1" si="8"/>
        <v>4446295.2258128822</v>
      </c>
      <c r="D122" s="164">
        <f t="shared" ca="1" si="7"/>
        <v>79783.523274854859</v>
      </c>
      <c r="E122" s="164">
        <f t="shared" ca="1" si="5"/>
        <v>1065.2429772690746</v>
      </c>
      <c r="F122" s="165">
        <f t="shared" ca="1" si="6"/>
        <v>78718.280297585778</v>
      </c>
      <c r="N122" s="469"/>
      <c r="O122" s="468"/>
    </row>
    <row r="123" spans="2:15" x14ac:dyDescent="0.25">
      <c r="B123" s="163">
        <v>116</v>
      </c>
      <c r="C123" s="164">
        <f t="shared" ca="1" si="8"/>
        <v>4445211.1280349158</v>
      </c>
      <c r="D123" s="164">
        <f t="shared" ca="1" si="7"/>
        <v>79783.523274854859</v>
      </c>
      <c r="E123" s="164">
        <f t="shared" ca="1" si="5"/>
        <v>1084.0977779667376</v>
      </c>
      <c r="F123" s="165">
        <f t="shared" ca="1" si="6"/>
        <v>78699.425496888114</v>
      </c>
      <c r="N123" s="469"/>
      <c r="O123" s="468"/>
    </row>
    <row r="124" spans="2:15" x14ac:dyDescent="0.25">
      <c r="B124" s="163">
        <v>117</v>
      </c>
      <c r="C124" s="164">
        <f t="shared" ca="1" si="8"/>
        <v>4444107.8417262789</v>
      </c>
      <c r="D124" s="164">
        <f t="shared" ca="1" si="7"/>
        <v>79783.523274854859</v>
      </c>
      <c r="E124" s="164">
        <f t="shared" ca="1" si="5"/>
        <v>1103.286308636749</v>
      </c>
      <c r="F124" s="165">
        <f t="shared" ca="1" si="6"/>
        <v>78680.236966218115</v>
      </c>
      <c r="N124" s="469"/>
      <c r="O124" s="468"/>
    </row>
    <row r="125" spans="2:15" x14ac:dyDescent="0.25">
      <c r="B125" s="163">
        <v>118</v>
      </c>
      <c r="C125" s="164">
        <f t="shared" ca="1" si="8"/>
        <v>4442985.0272499789</v>
      </c>
      <c r="D125" s="164">
        <f t="shared" ca="1" si="7"/>
        <v>79783.523274854859</v>
      </c>
      <c r="E125" s="164">
        <f t="shared" ca="1" si="5"/>
        <v>1122.8144762996199</v>
      </c>
      <c r="F125" s="165">
        <f t="shared" ca="1" si="6"/>
        <v>78660.708798555235</v>
      </c>
      <c r="N125" s="469"/>
      <c r="O125" s="468"/>
    </row>
    <row r="126" spans="2:15" x14ac:dyDescent="0.25">
      <c r="B126" s="163">
        <v>119</v>
      </c>
      <c r="C126" s="164">
        <f t="shared" ca="1" si="8"/>
        <v>4441842.3389574485</v>
      </c>
      <c r="D126" s="164">
        <f t="shared" ca="1" si="7"/>
        <v>79783.523274854859</v>
      </c>
      <c r="E126" s="164">
        <f t="shared" ca="1" si="5"/>
        <v>1142.6882925301222</v>
      </c>
      <c r="F126" s="165">
        <f t="shared" ca="1" si="6"/>
        <v>78640.834982324741</v>
      </c>
      <c r="N126" s="469"/>
      <c r="O126" s="468"/>
    </row>
    <row r="127" spans="2:15" x14ac:dyDescent="0.25">
      <c r="B127" s="163">
        <v>120</v>
      </c>
      <c r="C127" s="164">
        <f t="shared" ca="1" si="8"/>
        <v>4440679.4250821406</v>
      </c>
      <c r="D127" s="164">
        <f t="shared" ca="1" si="7"/>
        <v>79783.523274854859</v>
      </c>
      <c r="E127" s="164">
        <f t="shared" ca="1" si="5"/>
        <v>1162.9138753079058</v>
      </c>
      <c r="F127" s="165">
        <f t="shared" ca="1" si="6"/>
        <v>78620.609399546956</v>
      </c>
      <c r="N127" s="469"/>
      <c r="O127" s="468"/>
    </row>
    <row r="128" spans="2:15" x14ac:dyDescent="0.25">
      <c r="B128" s="163">
        <v>121</v>
      </c>
      <c r="C128" s="164">
        <f t="shared" ca="1" si="8"/>
        <v>4439495.9276312394</v>
      </c>
      <c r="D128" s="164">
        <f t="shared" ca="1" si="7"/>
        <v>79783.523274854873</v>
      </c>
      <c r="E128" s="164">
        <f t="shared" ca="1" si="5"/>
        <v>1183.4974509008559</v>
      </c>
      <c r="F128" s="165">
        <f t="shared" ca="1" si="6"/>
        <v>78600.025823954013</v>
      </c>
      <c r="N128" s="469"/>
      <c r="O128" s="468"/>
    </row>
    <row r="129" spans="2:15" x14ac:dyDescent="0.25">
      <c r="B129" s="163">
        <v>122</v>
      </c>
      <c r="C129" s="164">
        <f t="shared" ca="1" si="8"/>
        <v>4438291.4822754581</v>
      </c>
      <c r="D129" s="164">
        <f t="shared" ca="1" si="7"/>
        <v>79783.523274854859</v>
      </c>
      <c r="E129" s="164">
        <f t="shared" ca="1" si="5"/>
        <v>1204.4453557818003</v>
      </c>
      <c r="F129" s="165">
        <f t="shared" ca="1" si="6"/>
        <v>78579.077919073054</v>
      </c>
      <c r="N129" s="469"/>
      <c r="O129" s="468"/>
    </row>
    <row r="130" spans="2:15" x14ac:dyDescent="0.25">
      <c r="B130" s="163">
        <v>123</v>
      </c>
      <c r="C130" s="164">
        <f t="shared" ca="1" si="8"/>
        <v>4437065.7182368785</v>
      </c>
      <c r="D130" s="164">
        <f t="shared" ca="1" si="7"/>
        <v>79783.523274854873</v>
      </c>
      <c r="E130" s="164">
        <f t="shared" ca="1" si="5"/>
        <v>1225.7640385791385</v>
      </c>
      <c r="F130" s="165">
        <f t="shared" ca="1" si="6"/>
        <v>78557.759236275728</v>
      </c>
      <c r="N130" s="469"/>
      <c r="O130" s="468"/>
    </row>
    <row r="131" spans="2:15" x14ac:dyDescent="0.25">
      <c r="B131" s="163">
        <v>124</v>
      </c>
      <c r="C131" s="164">
        <f t="shared" ca="1" si="8"/>
        <v>4435818.2581748161</v>
      </c>
      <c r="D131" s="164">
        <f t="shared" ca="1" si="7"/>
        <v>79783.523274854859</v>
      </c>
      <c r="E131" s="164">
        <f t="shared" ca="1" si="5"/>
        <v>1247.4600620619897</v>
      </c>
      <c r="F131" s="165">
        <f t="shared" ca="1" si="6"/>
        <v>78536.063212792869</v>
      </c>
      <c r="N131" s="469"/>
      <c r="O131" s="468"/>
    </row>
    <row r="132" spans="2:15" x14ac:dyDescent="0.25">
      <c r="B132" s="163">
        <v>125</v>
      </c>
      <c r="C132" s="164">
        <f t="shared" ca="1" si="8"/>
        <v>4434548.7180696558</v>
      </c>
      <c r="D132" s="164">
        <f t="shared" ca="1" si="7"/>
        <v>79783.523274854844</v>
      </c>
      <c r="E132" s="164">
        <f t="shared" ca="1" si="5"/>
        <v>1269.5401051604872</v>
      </c>
      <c r="F132" s="165">
        <f t="shared" ca="1" si="6"/>
        <v>78513.983169694358</v>
      </c>
      <c r="N132" s="469"/>
      <c r="O132" s="468"/>
    </row>
    <row r="133" spans="2:15" x14ac:dyDescent="0.25">
      <c r="B133" s="163">
        <v>126</v>
      </c>
      <c r="C133" s="164">
        <f t="shared" ca="1" si="8"/>
        <v>4433256.7071046336</v>
      </c>
      <c r="D133" s="164">
        <f t="shared" ca="1" si="7"/>
        <v>79783.523274854844</v>
      </c>
      <c r="E133" s="164">
        <f t="shared" ca="1" si="5"/>
        <v>1292.0109650218267</v>
      </c>
      <c r="F133" s="165">
        <f t="shared" ca="1" si="6"/>
        <v>78491.512309833022</v>
      </c>
      <c r="N133" s="469"/>
      <c r="O133" s="468"/>
    </row>
    <row r="134" spans="2:15" x14ac:dyDescent="0.25">
      <c r="B134" s="163">
        <v>127</v>
      </c>
      <c r="C134" s="164">
        <f t="shared" ca="1" si="8"/>
        <v>4431941.8275455311</v>
      </c>
      <c r="D134" s="164">
        <f t="shared" ca="1" si="7"/>
        <v>79783.523274854844</v>
      </c>
      <c r="E134" s="164">
        <f t="shared" ca="1" si="5"/>
        <v>1314.8795591027133</v>
      </c>
      <c r="F134" s="165">
        <f t="shared" ca="1" si="6"/>
        <v>78468.643715752129</v>
      </c>
      <c r="N134" s="469"/>
      <c r="O134" s="468"/>
    </row>
    <row r="135" spans="2:15" x14ac:dyDescent="0.25">
      <c r="B135" s="163">
        <v>128</v>
      </c>
      <c r="C135" s="164">
        <f t="shared" ca="1" si="8"/>
        <v>4430603.6746182321</v>
      </c>
      <c r="D135" s="164">
        <f t="shared" ca="1" si="7"/>
        <v>79783.523274854844</v>
      </c>
      <c r="E135" s="164">
        <f t="shared" ca="1" si="5"/>
        <v>1338.1529272988319</v>
      </c>
      <c r="F135" s="165">
        <f t="shared" ca="1" si="6"/>
        <v>78445.370347556018</v>
      </c>
      <c r="N135" s="469"/>
      <c r="O135" s="468"/>
    </row>
    <row r="136" spans="2:15" x14ac:dyDescent="0.25">
      <c r="B136" s="163">
        <v>129</v>
      </c>
      <c r="C136" s="164">
        <f t="shared" ca="1" si="8"/>
        <v>4429241.8363841204</v>
      </c>
      <c r="D136" s="164">
        <f t="shared" ca="1" si="7"/>
        <v>79783.523274854844</v>
      </c>
      <c r="E136" s="164">
        <f t="shared" ref="E136:E199" ca="1" si="9">-IFERROR(IF(OR(B136&lt;=$J$35,$J$35=0),PPMT($J$40/12,B136,$J$13*12,$J$14),PPMT(($O$5+$J$40)/12,B136-$J$35,$J$13*12-$J$35,$J$14+CUMPRINC($J$40/12,$J$13*12,$J$14,1,$J$35,0))),0)</f>
        <v>1361.8382341120216</v>
      </c>
      <c r="F136" s="165">
        <f t="shared" ref="F136:F199" ca="1" si="10">-IF(AND($O$8,B136&lt;=$J$25,$J$24),IF($H$25="Без процентов",0,0.5),1)*IFERROR(IF(OR(B136&lt;=$J$35,$J$35=0),IPMT($J$40/12,B136,$J$13*12,$J$14),IPMT(($O$5+$J$40)/12,B136-$J$35,$J$13*12-$J$35,$J$14+CUMPRINC($J$40/12,$J$13*12,$J$14,1,$J$35,0),0,0)),0)</f>
        <v>78421.685040742828</v>
      </c>
      <c r="N136" s="469"/>
      <c r="O136" s="468"/>
    </row>
    <row r="137" spans="2:15" x14ac:dyDescent="0.25">
      <c r="B137" s="163">
        <v>130</v>
      </c>
      <c r="C137" s="164">
        <f t="shared" ca="1" si="8"/>
        <v>4427855.8936132649</v>
      </c>
      <c r="D137" s="164">
        <f t="shared" ref="D137:D200" ca="1" si="11">E137+F137</f>
        <v>79783.523274854859</v>
      </c>
      <c r="E137" s="164">
        <f t="shared" ca="1" si="9"/>
        <v>1385.9427708558035</v>
      </c>
      <c r="F137" s="165">
        <f t="shared" ca="1" si="10"/>
        <v>78397.580503999052</v>
      </c>
      <c r="N137" s="469"/>
      <c r="O137" s="468"/>
    </row>
    <row r="138" spans="2:15" x14ac:dyDescent="0.25">
      <c r="B138" s="163">
        <v>131</v>
      </c>
      <c r="C138" s="164">
        <f t="shared" ca="1" si="8"/>
        <v>4426445.4196553649</v>
      </c>
      <c r="D138" s="164">
        <f t="shared" ca="1" si="11"/>
        <v>79783.523274854859</v>
      </c>
      <c r="E138" s="164">
        <f t="shared" ca="1" si="9"/>
        <v>1410.4739578999513</v>
      </c>
      <c r="F138" s="165">
        <f t="shared" ca="1" si="10"/>
        <v>78373.049316954901</v>
      </c>
      <c r="N138" s="469"/>
      <c r="O138" s="468"/>
    </row>
    <row r="139" spans="2:15" x14ac:dyDescent="0.25">
      <c r="B139" s="163">
        <v>132</v>
      </c>
      <c r="C139" s="164">
        <f t="shared" ca="1" si="8"/>
        <v>4425009.9803084098</v>
      </c>
      <c r="D139" s="164">
        <f t="shared" ca="1" si="11"/>
        <v>79783.523274854859</v>
      </c>
      <c r="E139" s="164">
        <f t="shared" ca="1" si="9"/>
        <v>1435.4393469547808</v>
      </c>
      <c r="F139" s="165">
        <f t="shared" ca="1" si="10"/>
        <v>78348.083927900079</v>
      </c>
      <c r="N139" s="469"/>
      <c r="O139" s="468"/>
    </row>
    <row r="140" spans="2:15" x14ac:dyDescent="0.25">
      <c r="B140" s="163">
        <v>133</v>
      </c>
      <c r="C140" s="164">
        <f t="shared" ca="1" si="8"/>
        <v>4423549.1336850142</v>
      </c>
      <c r="D140" s="164">
        <f t="shared" ca="1" si="11"/>
        <v>79783.523274854844</v>
      </c>
      <c r="E140" s="164">
        <f t="shared" ca="1" si="9"/>
        <v>1460.8466233958809</v>
      </c>
      <c r="F140" s="165">
        <f t="shared" ca="1" si="10"/>
        <v>78322.676651458969</v>
      </c>
      <c r="N140" s="469"/>
      <c r="O140" s="468"/>
    </row>
    <row r="141" spans="2:15" x14ac:dyDescent="0.25">
      <c r="B141" s="163">
        <v>134</v>
      </c>
      <c r="C141" s="164">
        <f t="shared" ca="1" si="8"/>
        <v>4422062.430076384</v>
      </c>
      <c r="D141" s="164">
        <f t="shared" ca="1" si="11"/>
        <v>79783.523274854859</v>
      </c>
      <c r="E141" s="164">
        <f t="shared" ca="1" si="9"/>
        <v>1486.7036086299877</v>
      </c>
      <c r="F141" s="165">
        <f t="shared" ca="1" si="10"/>
        <v>78296.819666224867</v>
      </c>
      <c r="N141" s="469"/>
      <c r="O141" s="468"/>
    </row>
    <row r="142" spans="2:15" x14ac:dyDescent="0.25">
      <c r="B142" s="163">
        <v>135</v>
      </c>
      <c r="C142" s="164">
        <f t="shared" ca="1" si="8"/>
        <v>4420549.4118138812</v>
      </c>
      <c r="D142" s="164">
        <f t="shared" ca="1" si="11"/>
        <v>79783.523274854844</v>
      </c>
      <c r="E142" s="164">
        <f t="shared" ca="1" si="9"/>
        <v>1513.018262502738</v>
      </c>
      <c r="F142" s="165">
        <f t="shared" ca="1" si="10"/>
        <v>78270.505012352107</v>
      </c>
      <c r="N142" s="469"/>
      <c r="O142" s="468"/>
    </row>
    <row r="143" spans="2:15" x14ac:dyDescent="0.25">
      <c r="B143" s="163">
        <v>136</v>
      </c>
      <c r="C143" s="164">
        <f t="shared" ca="1" si="8"/>
        <v>4419009.6131281322</v>
      </c>
      <c r="D143" s="164">
        <f t="shared" ca="1" si="11"/>
        <v>79783.523274854844</v>
      </c>
      <c r="E143" s="164">
        <f t="shared" ca="1" si="9"/>
        <v>1539.7986857490368</v>
      </c>
      <c r="F143" s="165">
        <f t="shared" ca="1" si="10"/>
        <v>78243.724589105812</v>
      </c>
      <c r="N143" s="469"/>
      <c r="O143" s="468"/>
    </row>
    <row r="144" spans="2:15" x14ac:dyDescent="0.25">
      <c r="B144" s="163">
        <v>137</v>
      </c>
      <c r="C144" s="164">
        <f t="shared" ca="1" si="8"/>
        <v>4417442.5600056453</v>
      </c>
      <c r="D144" s="164">
        <f t="shared" ca="1" si="11"/>
        <v>79783.523274854844</v>
      </c>
      <c r="E144" s="164">
        <f t="shared" ca="1" si="9"/>
        <v>1567.0531224867946</v>
      </c>
      <c r="F144" s="165">
        <f t="shared" ca="1" si="10"/>
        <v>78216.470152368056</v>
      </c>
      <c r="N144" s="469"/>
      <c r="O144" s="468"/>
    </row>
    <row r="145" spans="2:15" x14ac:dyDescent="0.25">
      <c r="B145" s="163">
        <v>138</v>
      </c>
      <c r="C145" s="164">
        <f t="shared" ca="1" si="8"/>
        <v>4415847.7700428907</v>
      </c>
      <c r="D145" s="164">
        <f t="shared" ca="1" si="11"/>
        <v>79783.523274854844</v>
      </c>
      <c r="E145" s="164">
        <f t="shared" ca="1" si="9"/>
        <v>1594.7899627548104</v>
      </c>
      <c r="F145" s="165">
        <f t="shared" ca="1" si="10"/>
        <v>78188.733312100041</v>
      </c>
      <c r="N145" s="469"/>
      <c r="O145" s="468"/>
    </row>
    <row r="146" spans="2:15" x14ac:dyDescent="0.25">
      <c r="B146" s="163">
        <v>139</v>
      </c>
      <c r="C146" s="164">
        <f t="shared" ca="1" si="8"/>
        <v>4414224.7522977954</v>
      </c>
      <c r="D146" s="164">
        <f t="shared" ca="1" si="11"/>
        <v>79783.523274854844</v>
      </c>
      <c r="E146" s="164">
        <f t="shared" ca="1" si="9"/>
        <v>1623.0177450955712</v>
      </c>
      <c r="F146" s="165">
        <f t="shared" ca="1" si="10"/>
        <v>78160.505529759277</v>
      </c>
      <c r="N146" s="469"/>
      <c r="O146" s="468"/>
    </row>
    <row r="147" spans="2:15" x14ac:dyDescent="0.25">
      <c r="B147" s="163">
        <v>140</v>
      </c>
      <c r="C147" s="164">
        <f t="shared" ca="1" si="8"/>
        <v>4412573.0071386117</v>
      </c>
      <c r="D147" s="164">
        <f t="shared" ca="1" si="11"/>
        <v>79783.523274854859</v>
      </c>
      <c r="E147" s="164">
        <f t="shared" ca="1" si="9"/>
        <v>1651.7451591837623</v>
      </c>
      <c r="F147" s="165">
        <f t="shared" ca="1" si="10"/>
        <v>78131.778115671099</v>
      </c>
      <c r="N147" s="469"/>
      <c r="O147" s="468"/>
    </row>
    <row r="148" spans="2:15" x14ac:dyDescent="0.25">
      <c r="B148" s="163">
        <v>141</v>
      </c>
      <c r="C148" s="164">
        <f t="shared" ca="1" si="8"/>
        <v>4410892.0260901107</v>
      </c>
      <c r="D148" s="164">
        <f t="shared" ca="1" si="11"/>
        <v>79783.523274854859</v>
      </c>
      <c r="E148" s="164">
        <f t="shared" ca="1" si="9"/>
        <v>1680.9810485013154</v>
      </c>
      <c r="F148" s="165">
        <f t="shared" ca="1" si="10"/>
        <v>78102.542226353544</v>
      </c>
      <c r="N148" s="469"/>
      <c r="O148" s="468"/>
    </row>
    <row r="149" spans="2:15" x14ac:dyDescent="0.25">
      <c r="B149" s="163">
        <v>142</v>
      </c>
      <c r="C149" s="164">
        <f t="shared" ref="C149:C212" ca="1" si="12">C148-E149</f>
        <v>4409181.2916770512</v>
      </c>
      <c r="D149" s="164">
        <f t="shared" ca="1" si="11"/>
        <v>79783.523274854873</v>
      </c>
      <c r="E149" s="164">
        <f t="shared" ca="1" si="9"/>
        <v>1710.734413059788</v>
      </c>
      <c r="F149" s="165">
        <f t="shared" ca="1" si="10"/>
        <v>78072.788861795081</v>
      </c>
      <c r="N149" s="469"/>
      <c r="O149" s="468"/>
    </row>
    <row r="150" spans="2:15" x14ac:dyDescent="0.25">
      <c r="B150" s="163">
        <v>143</v>
      </c>
      <c r="C150" s="164">
        <f t="shared" ca="1" si="12"/>
        <v>4407440.27726488</v>
      </c>
      <c r="D150" s="164">
        <f t="shared" ca="1" si="11"/>
        <v>79783.523274854859</v>
      </c>
      <c r="E150" s="164">
        <f t="shared" ca="1" si="9"/>
        <v>1741.014412170947</v>
      </c>
      <c r="F150" s="165">
        <f t="shared" ca="1" si="10"/>
        <v>78042.508862683913</v>
      </c>
      <c r="N150" s="469"/>
      <c r="O150" s="468"/>
    </row>
    <row r="151" spans="2:15" x14ac:dyDescent="0.25">
      <c r="B151" s="163">
        <v>144</v>
      </c>
      <c r="C151" s="164">
        <f t="shared" ca="1" si="12"/>
        <v>4405668.4468976138</v>
      </c>
      <c r="D151" s="164">
        <f t="shared" ca="1" si="11"/>
        <v>79783.523274854859</v>
      </c>
      <c r="E151" s="164">
        <f t="shared" ca="1" si="9"/>
        <v>1771.8303672663721</v>
      </c>
      <c r="F151" s="165">
        <f t="shared" ca="1" si="10"/>
        <v>78011.692907588484</v>
      </c>
      <c r="N151" s="469"/>
      <c r="O151" s="468"/>
    </row>
    <row r="152" spans="2:15" x14ac:dyDescent="0.25">
      <c r="B152" s="163">
        <v>145</v>
      </c>
      <c r="C152" s="164">
        <f t="shared" ca="1" si="12"/>
        <v>4403865.2551328465</v>
      </c>
      <c r="D152" s="164">
        <f t="shared" ca="1" si="11"/>
        <v>79783.523274854859</v>
      </c>
      <c r="E152" s="164">
        <f t="shared" ca="1" si="9"/>
        <v>1803.1917647669873</v>
      </c>
      <c r="F152" s="165">
        <f t="shared" ca="1" si="10"/>
        <v>77980.331510087868</v>
      </c>
      <c r="N152" s="469"/>
      <c r="O152" s="468"/>
    </row>
    <row r="153" spans="2:15" x14ac:dyDescent="0.25">
      <c r="B153" s="163">
        <v>146</v>
      </c>
      <c r="C153" s="164">
        <f t="shared" ca="1" si="12"/>
        <v>4402030.1468738429</v>
      </c>
      <c r="D153" s="164">
        <f t="shared" ca="1" si="11"/>
        <v>79783.523274854844</v>
      </c>
      <c r="E153" s="164">
        <f t="shared" ca="1" si="9"/>
        <v>1835.1082590033627</v>
      </c>
      <c r="F153" s="165">
        <f t="shared" ca="1" si="10"/>
        <v>77948.415015851482</v>
      </c>
      <c r="N153" s="469"/>
      <c r="O153" s="468"/>
    </row>
    <row r="154" spans="2:15" x14ac:dyDescent="0.25">
      <c r="B154" s="163">
        <v>147</v>
      </c>
      <c r="C154" s="164">
        <f t="shared" ca="1" si="12"/>
        <v>4400162.5571986549</v>
      </c>
      <c r="D154" s="164">
        <f t="shared" ca="1" si="11"/>
        <v>79783.523274854873</v>
      </c>
      <c r="E154" s="164">
        <f t="shared" ca="1" si="9"/>
        <v>1867.5896751877228</v>
      </c>
      <c r="F154" s="165">
        <f t="shared" ca="1" si="10"/>
        <v>77915.933599667143</v>
      </c>
      <c r="N154" s="469"/>
      <c r="O154" s="468"/>
    </row>
    <row r="155" spans="2:15" x14ac:dyDescent="0.25">
      <c r="B155" s="163">
        <v>148</v>
      </c>
      <c r="C155" s="164">
        <f t="shared" ca="1" si="12"/>
        <v>4398261.9111862164</v>
      </c>
      <c r="D155" s="164">
        <f t="shared" ca="1" si="11"/>
        <v>79783.523274854859</v>
      </c>
      <c r="E155" s="164">
        <f t="shared" ca="1" si="9"/>
        <v>1900.6460124385451</v>
      </c>
      <c r="F155" s="165">
        <f t="shared" ca="1" si="10"/>
        <v>77882.87726241631</v>
      </c>
      <c r="N155" s="469"/>
      <c r="O155" s="468"/>
    </row>
    <row r="156" spans="2:15" x14ac:dyDescent="0.25">
      <c r="B156" s="163">
        <v>149</v>
      </c>
      <c r="C156" s="164">
        <f t="shared" ca="1" si="12"/>
        <v>4396327.623739358</v>
      </c>
      <c r="D156" s="164">
        <f t="shared" ca="1" si="11"/>
        <v>79783.523274854859</v>
      </c>
      <c r="E156" s="164">
        <f t="shared" ca="1" si="9"/>
        <v>1934.2874468587079</v>
      </c>
      <c r="F156" s="165">
        <f t="shared" ca="1" si="10"/>
        <v>77849.235827996148</v>
      </c>
      <c r="N156" s="469"/>
      <c r="O156" s="468"/>
    </row>
    <row r="157" spans="2:15" x14ac:dyDescent="0.25">
      <c r="B157" s="163">
        <v>150</v>
      </c>
      <c r="C157" s="164">
        <f t="shared" ca="1" si="12"/>
        <v>4394359.0994046899</v>
      </c>
      <c r="D157" s="164">
        <f t="shared" ca="1" si="11"/>
        <v>79783.523274854859</v>
      </c>
      <c r="E157" s="164">
        <f t="shared" ca="1" si="9"/>
        <v>1968.5243346681066</v>
      </c>
      <c r="F157" s="165">
        <f t="shared" ca="1" si="10"/>
        <v>77814.99894018675</v>
      </c>
      <c r="N157" s="469"/>
      <c r="O157" s="468"/>
    </row>
    <row r="158" spans="2:15" x14ac:dyDescent="0.25">
      <c r="B158" s="163">
        <v>151</v>
      </c>
      <c r="C158" s="164">
        <f t="shared" ca="1" si="12"/>
        <v>4392355.7321892977</v>
      </c>
      <c r="D158" s="164">
        <f t="shared" ca="1" si="11"/>
        <v>79783.523274854844</v>
      </c>
      <c r="E158" s="164">
        <f t="shared" ca="1" si="9"/>
        <v>2003.3672153917323</v>
      </c>
      <c r="F158" s="165">
        <f t="shared" ca="1" si="10"/>
        <v>77780.156059463116</v>
      </c>
      <c r="N158" s="469"/>
      <c r="O158" s="468"/>
    </row>
    <row r="159" spans="2:15" x14ac:dyDescent="0.25">
      <c r="B159" s="163">
        <v>152</v>
      </c>
      <c r="C159" s="164">
        <f t="shared" ca="1" si="12"/>
        <v>4390316.9053741936</v>
      </c>
      <c r="D159" s="164">
        <f t="shared" ca="1" si="11"/>
        <v>79783.523274854859</v>
      </c>
      <c r="E159" s="164">
        <f t="shared" ca="1" si="9"/>
        <v>2038.8268151041657</v>
      </c>
      <c r="F159" s="165">
        <f t="shared" ca="1" si="10"/>
        <v>77744.696459750689</v>
      </c>
      <c r="N159" s="469"/>
      <c r="O159" s="468"/>
    </row>
    <row r="160" spans="2:15" x14ac:dyDescent="0.25">
      <c r="B160" s="163">
        <v>153</v>
      </c>
      <c r="C160" s="164">
        <f t="shared" ca="1" si="12"/>
        <v>4388241.991324462</v>
      </c>
      <c r="D160" s="164">
        <f t="shared" ca="1" si="11"/>
        <v>79783.523274854859</v>
      </c>
      <c r="E160" s="164">
        <f t="shared" ca="1" si="9"/>
        <v>2074.9140497315088</v>
      </c>
      <c r="F160" s="165">
        <f t="shared" ca="1" si="10"/>
        <v>77708.609225123349</v>
      </c>
      <c r="N160" s="469"/>
      <c r="O160" s="468"/>
    </row>
    <row r="161" spans="2:15" x14ac:dyDescent="0.25">
      <c r="B161" s="163">
        <v>154</v>
      </c>
      <c r="C161" s="164">
        <f t="shared" ca="1" si="12"/>
        <v>4386130.3512960505</v>
      </c>
      <c r="D161" s="164">
        <f t="shared" ca="1" si="11"/>
        <v>79783.523274854844</v>
      </c>
      <c r="E161" s="164">
        <f t="shared" ca="1" si="9"/>
        <v>2111.6400284117572</v>
      </c>
      <c r="F161" s="165">
        <f t="shared" ca="1" si="10"/>
        <v>77671.883246443089</v>
      </c>
      <c r="N161" s="469"/>
      <c r="O161" s="468"/>
    </row>
    <row r="162" spans="2:15" x14ac:dyDescent="0.25">
      <c r="B162" s="163">
        <v>155</v>
      </c>
      <c r="C162" s="164">
        <f t="shared" ca="1" si="12"/>
        <v>4383981.3352391357</v>
      </c>
      <c r="D162" s="164">
        <f t="shared" ca="1" si="11"/>
        <v>79783.523274854844</v>
      </c>
      <c r="E162" s="164">
        <f t="shared" ca="1" si="9"/>
        <v>2149.0160569146447</v>
      </c>
      <c r="F162" s="165">
        <f t="shared" ca="1" si="10"/>
        <v>77634.507217940205</v>
      </c>
      <c r="N162" s="469"/>
      <c r="O162" s="468"/>
    </row>
    <row r="163" spans="2:15" x14ac:dyDescent="0.25">
      <c r="B163" s="163">
        <v>156</v>
      </c>
      <c r="C163" s="164">
        <f t="shared" ca="1" si="12"/>
        <v>4381794.2815980138</v>
      </c>
      <c r="D163" s="164">
        <f t="shared" ca="1" si="11"/>
        <v>79783.523274854859</v>
      </c>
      <c r="E163" s="164">
        <f t="shared" ca="1" si="9"/>
        <v>2187.0536411220346</v>
      </c>
      <c r="F163" s="165">
        <f t="shared" ca="1" si="10"/>
        <v>77596.469633732821</v>
      </c>
      <c r="N163" s="469"/>
      <c r="O163" s="468"/>
    </row>
    <row r="164" spans="2:15" x14ac:dyDescent="0.25">
      <c r="B164" s="163">
        <v>157</v>
      </c>
      <c r="C164" s="164">
        <f t="shared" ca="1" si="12"/>
        <v>4379568.5171074439</v>
      </c>
      <c r="D164" s="164">
        <f t="shared" ca="1" si="11"/>
        <v>79783.523274854859</v>
      </c>
      <c r="E164" s="164">
        <f t="shared" ca="1" si="9"/>
        <v>2225.764490569894</v>
      </c>
      <c r="F164" s="165">
        <f t="shared" ca="1" si="10"/>
        <v>77557.758784284961</v>
      </c>
      <c r="N164" s="469"/>
      <c r="O164" s="468"/>
    </row>
    <row r="165" spans="2:15" x14ac:dyDescent="0.25">
      <c r="B165" s="163">
        <v>158</v>
      </c>
      <c r="C165" s="164">
        <f t="shared" ca="1" si="12"/>
        <v>4377303.3565853909</v>
      </c>
      <c r="D165" s="164">
        <f t="shared" ca="1" si="11"/>
        <v>79783.523274854844</v>
      </c>
      <c r="E165" s="164">
        <f t="shared" ca="1" si="9"/>
        <v>2265.1605220529818</v>
      </c>
      <c r="F165" s="165">
        <f t="shared" ca="1" si="10"/>
        <v>77518.36275280187</v>
      </c>
      <c r="N165" s="469"/>
      <c r="O165" s="468"/>
    </row>
    <row r="166" spans="2:15" x14ac:dyDescent="0.25">
      <c r="B166" s="163">
        <v>159</v>
      </c>
      <c r="C166" s="164">
        <f t="shared" ca="1" si="12"/>
        <v>4374998.1027220972</v>
      </c>
      <c r="D166" s="164">
        <f t="shared" ca="1" si="11"/>
        <v>79783.523274854844</v>
      </c>
      <c r="E166" s="164">
        <f t="shared" ca="1" si="9"/>
        <v>2305.2538632933192</v>
      </c>
      <c r="F166" s="165">
        <f t="shared" ca="1" si="10"/>
        <v>77478.26941156153</v>
      </c>
      <c r="N166" s="469"/>
      <c r="O166" s="468"/>
    </row>
    <row r="167" spans="2:15" x14ac:dyDescent="0.25">
      <c r="B167" s="163">
        <v>160</v>
      </c>
      <c r="C167" s="164">
        <f t="shared" ca="1" si="12"/>
        <v>4372652.045865424</v>
      </c>
      <c r="D167" s="164">
        <f t="shared" ca="1" si="11"/>
        <v>79783.523274854859</v>
      </c>
      <c r="E167" s="164">
        <f t="shared" ca="1" si="9"/>
        <v>2346.0568566736115</v>
      </c>
      <c r="F167" s="165">
        <f t="shared" ca="1" si="10"/>
        <v>77437.46641818124</v>
      </c>
      <c r="N167" s="469"/>
      <c r="O167" s="468"/>
    </row>
    <row r="168" spans="2:15" x14ac:dyDescent="0.25">
      <c r="B168" s="163">
        <v>161</v>
      </c>
      <c r="C168" s="164">
        <f t="shared" ca="1" si="12"/>
        <v>4370264.463802387</v>
      </c>
      <c r="D168" s="164">
        <f t="shared" ca="1" si="11"/>
        <v>79783.523274854859</v>
      </c>
      <c r="E168" s="164">
        <f t="shared" ca="1" si="9"/>
        <v>2387.5820630367334</v>
      </c>
      <c r="F168" s="165">
        <f t="shared" ca="1" si="10"/>
        <v>77395.941211818121</v>
      </c>
      <c r="N168" s="469"/>
      <c r="O168" s="468"/>
    </row>
    <row r="169" spans="2:15" x14ac:dyDescent="0.25">
      <c r="B169" s="163">
        <v>162</v>
      </c>
      <c r="C169" s="164">
        <f t="shared" ca="1" si="12"/>
        <v>4367834.6215368342</v>
      </c>
      <c r="D169" s="164">
        <f t="shared" ca="1" si="11"/>
        <v>79783.523274854844</v>
      </c>
      <c r="E169" s="164">
        <f t="shared" ca="1" si="9"/>
        <v>2429.8422655524842</v>
      </c>
      <c r="F169" s="165">
        <f t="shared" ca="1" si="10"/>
        <v>77353.681009302367</v>
      </c>
      <c r="N169" s="469"/>
      <c r="O169" s="468"/>
    </row>
    <row r="170" spans="2:15" x14ac:dyDescent="0.25">
      <c r="B170" s="163">
        <v>163</v>
      </c>
      <c r="C170" s="164">
        <f t="shared" ca="1" si="12"/>
        <v>4365361.7710631816</v>
      </c>
      <c r="D170" s="164">
        <f t="shared" ca="1" si="11"/>
        <v>79783.523274854844</v>
      </c>
      <c r="E170" s="164">
        <f t="shared" ca="1" si="9"/>
        <v>2472.850473652763</v>
      </c>
      <c r="F170" s="165">
        <f t="shared" ca="1" si="10"/>
        <v>77310.672801202076</v>
      </c>
      <c r="N170" s="469"/>
      <c r="O170" s="468"/>
    </row>
    <row r="171" spans="2:15" x14ac:dyDescent="0.25">
      <c r="B171" s="163">
        <v>164</v>
      </c>
      <c r="C171" s="164">
        <f t="shared" ca="1" si="12"/>
        <v>4362845.151136145</v>
      </c>
      <c r="D171" s="164">
        <f t="shared" ca="1" si="11"/>
        <v>79783.523274854844</v>
      </c>
      <c r="E171" s="164">
        <f t="shared" ca="1" si="9"/>
        <v>2516.6199270364173</v>
      </c>
      <c r="F171" s="165">
        <f t="shared" ca="1" si="10"/>
        <v>77266.903347818428</v>
      </c>
      <c r="N171" s="469"/>
      <c r="O171" s="468"/>
    </row>
    <row r="172" spans="2:15" x14ac:dyDescent="0.25">
      <c r="B172" s="163">
        <v>165</v>
      </c>
      <c r="C172" s="164">
        <f t="shared" ca="1" si="12"/>
        <v>4360283.9870364005</v>
      </c>
      <c r="D172" s="164">
        <f t="shared" ca="1" si="11"/>
        <v>79783.523274854859</v>
      </c>
      <c r="E172" s="164">
        <f t="shared" ca="1" si="9"/>
        <v>2561.1640997449617</v>
      </c>
      <c r="F172" s="165">
        <f t="shared" ca="1" si="10"/>
        <v>77222.359175109901</v>
      </c>
      <c r="N172" s="469"/>
      <c r="O172" s="468"/>
    </row>
    <row r="173" spans="2:15" x14ac:dyDescent="0.25">
      <c r="B173" s="163">
        <v>166</v>
      </c>
      <c r="C173" s="164">
        <f t="shared" ca="1" si="12"/>
        <v>4357677.4903320903</v>
      </c>
      <c r="D173" s="164">
        <f t="shared" ca="1" si="11"/>
        <v>79783.523274854844</v>
      </c>
      <c r="E173" s="164">
        <f t="shared" ca="1" si="9"/>
        <v>2606.4967043104475</v>
      </c>
      <c r="F173" s="165">
        <f t="shared" ca="1" si="10"/>
        <v>77177.026570544404</v>
      </c>
      <c r="N173" s="469"/>
      <c r="O173" s="468"/>
    </row>
    <row r="174" spans="2:15" x14ac:dyDescent="0.25">
      <c r="B174" s="163">
        <v>167</v>
      </c>
      <c r="C174" s="164">
        <f t="shared" ca="1" si="12"/>
        <v>4355024.8586361138</v>
      </c>
      <c r="D174" s="164">
        <f t="shared" ca="1" si="11"/>
        <v>79783.523274854859</v>
      </c>
      <c r="E174" s="164">
        <f t="shared" ca="1" si="9"/>
        <v>2652.6316959767423</v>
      </c>
      <c r="F174" s="165">
        <f t="shared" ca="1" si="10"/>
        <v>77130.891578878116</v>
      </c>
      <c r="N174" s="469"/>
      <c r="O174" s="468"/>
    </row>
    <row r="175" spans="2:15" x14ac:dyDescent="0.25">
      <c r="B175" s="163">
        <v>168</v>
      </c>
      <c r="C175" s="164">
        <f t="shared" ca="1" si="12"/>
        <v>4352325.2753591184</v>
      </c>
      <c r="D175" s="164">
        <f t="shared" ca="1" si="11"/>
        <v>79783.523274854859</v>
      </c>
      <c r="E175" s="164">
        <f t="shared" ca="1" si="9"/>
        <v>2699.5832769955309</v>
      </c>
      <c r="F175" s="165">
        <f t="shared" ca="1" si="10"/>
        <v>77083.939997859328</v>
      </c>
      <c r="N175" s="469"/>
      <c r="O175" s="468"/>
    </row>
    <row r="176" spans="2:15" x14ac:dyDescent="0.25">
      <c r="B176" s="163">
        <v>169</v>
      </c>
      <c r="C176" s="164">
        <f t="shared" ca="1" si="12"/>
        <v>4349577.9094581204</v>
      </c>
      <c r="D176" s="164">
        <f t="shared" ca="1" si="11"/>
        <v>79783.523274854844</v>
      </c>
      <c r="E176" s="164">
        <f t="shared" ca="1" si="9"/>
        <v>2747.3659009983517</v>
      </c>
      <c r="F176" s="165">
        <f t="shared" ca="1" si="10"/>
        <v>77036.157373856491</v>
      </c>
      <c r="N176" s="469"/>
      <c r="O176" s="468"/>
    </row>
    <row r="177" spans="2:15" x14ac:dyDescent="0.25">
      <c r="B177" s="163">
        <v>170</v>
      </c>
      <c r="C177" s="164">
        <f t="shared" ca="1" si="12"/>
        <v>4346781.9151806748</v>
      </c>
      <c r="D177" s="164">
        <f t="shared" ca="1" si="11"/>
        <v>79783.523274854859</v>
      </c>
      <c r="E177" s="164">
        <f t="shared" ca="1" si="9"/>
        <v>2795.9942774460214</v>
      </c>
      <c r="F177" s="165">
        <f t="shared" ca="1" si="10"/>
        <v>76987.528997408837</v>
      </c>
      <c r="N177" s="469"/>
      <c r="O177" s="468"/>
    </row>
    <row r="178" spans="2:15" x14ac:dyDescent="0.25">
      <c r="B178" s="163">
        <v>171</v>
      </c>
      <c r="C178" s="164">
        <f t="shared" ca="1" si="12"/>
        <v>4343936.4318045182</v>
      </c>
      <c r="D178" s="164">
        <f t="shared" ca="1" si="11"/>
        <v>79783.523274854859</v>
      </c>
      <c r="E178" s="164">
        <f t="shared" ca="1" si="9"/>
        <v>2845.483376156817</v>
      </c>
      <c r="F178" s="165">
        <f t="shared" ca="1" si="10"/>
        <v>76938.039898698044</v>
      </c>
      <c r="N178" s="469"/>
      <c r="O178" s="468"/>
    </row>
    <row r="179" spans="2:15" x14ac:dyDescent="0.25">
      <c r="B179" s="163">
        <v>172</v>
      </c>
      <c r="C179" s="164">
        <f t="shared" ca="1" si="12"/>
        <v>4341040.5833726032</v>
      </c>
      <c r="D179" s="164">
        <f t="shared" ca="1" si="11"/>
        <v>79783.523274854859</v>
      </c>
      <c r="E179" s="164">
        <f t="shared" ca="1" si="9"/>
        <v>2895.8484319147924</v>
      </c>
      <c r="F179" s="165">
        <f t="shared" ca="1" si="10"/>
        <v>76887.674842940061</v>
      </c>
      <c r="N179" s="469"/>
      <c r="O179" s="468"/>
    </row>
    <row r="180" spans="2:15" x14ac:dyDescent="0.25">
      <c r="B180" s="163">
        <v>173</v>
      </c>
      <c r="C180" s="164">
        <f t="shared" ca="1" si="12"/>
        <v>4338093.4784234436</v>
      </c>
      <c r="D180" s="164">
        <f t="shared" ca="1" si="11"/>
        <v>79783.523274854844</v>
      </c>
      <c r="E180" s="164">
        <f t="shared" ca="1" si="9"/>
        <v>2947.1049491596846</v>
      </c>
      <c r="F180" s="165">
        <f t="shared" ca="1" si="10"/>
        <v>76836.418325695166</v>
      </c>
      <c r="N180" s="469"/>
      <c r="O180" s="468"/>
    </row>
    <row r="181" spans="2:15" x14ac:dyDescent="0.25">
      <c r="B181" s="163">
        <v>174</v>
      </c>
      <c r="C181" s="164">
        <f t="shared" ca="1" si="12"/>
        <v>4335094.2097166842</v>
      </c>
      <c r="D181" s="164">
        <f t="shared" ca="1" si="11"/>
        <v>79783.523274854873</v>
      </c>
      <c r="E181" s="164">
        <f t="shared" ca="1" si="9"/>
        <v>2999.2687067598104</v>
      </c>
      <c r="F181" s="165">
        <f t="shared" ca="1" si="10"/>
        <v>76784.254568095057</v>
      </c>
      <c r="N181" s="469"/>
      <c r="O181" s="468"/>
    </row>
    <row r="182" spans="2:15" x14ac:dyDescent="0.25">
      <c r="B182" s="163">
        <v>175</v>
      </c>
      <c r="C182" s="164">
        <f t="shared" ca="1" si="12"/>
        <v>4332041.8539538151</v>
      </c>
      <c r="D182" s="164">
        <f t="shared" ca="1" si="11"/>
        <v>79783.523274854844</v>
      </c>
      <c r="E182" s="164">
        <f t="shared" ca="1" si="9"/>
        <v>3052.3557628694598</v>
      </c>
      <c r="F182" s="165">
        <f t="shared" ca="1" si="10"/>
        <v>76731.16751198539</v>
      </c>
      <c r="N182" s="469"/>
      <c r="O182" s="468"/>
    </row>
    <row r="183" spans="2:15" x14ac:dyDescent="0.25">
      <c r="B183" s="163">
        <v>176</v>
      </c>
      <c r="C183" s="164">
        <f t="shared" ca="1" si="12"/>
        <v>4328935.4714939427</v>
      </c>
      <c r="D183" s="164">
        <f t="shared" ca="1" si="11"/>
        <v>79783.523274854859</v>
      </c>
      <c r="E183" s="164">
        <f t="shared" ca="1" si="9"/>
        <v>3106.3824598722485</v>
      </c>
      <c r="F183" s="165">
        <f t="shared" ca="1" si="10"/>
        <v>76677.140814982617</v>
      </c>
      <c r="N183" s="469"/>
      <c r="O183" s="468"/>
    </row>
    <row r="184" spans="2:15" x14ac:dyDescent="0.25">
      <c r="B184" s="163">
        <v>177</v>
      </c>
      <c r="C184" s="164">
        <f t="shared" ca="1" si="12"/>
        <v>4325774.106064531</v>
      </c>
      <c r="D184" s="164">
        <f t="shared" ca="1" si="11"/>
        <v>79783.523274854859</v>
      </c>
      <c r="E184" s="164">
        <f t="shared" ca="1" si="9"/>
        <v>3161.3654294119883</v>
      </c>
      <c r="F184" s="165">
        <f t="shared" ca="1" si="10"/>
        <v>76622.157845442867</v>
      </c>
      <c r="N184" s="469"/>
      <c r="O184" s="468"/>
    </row>
    <row r="185" spans="2:15" x14ac:dyDescent="0.25">
      <c r="B185" s="163">
        <v>178</v>
      </c>
      <c r="C185" s="164">
        <f t="shared" ca="1" si="12"/>
        <v>4322556.7844670182</v>
      </c>
      <c r="D185" s="164">
        <f t="shared" ca="1" si="11"/>
        <v>79783.523274854844</v>
      </c>
      <c r="E185" s="164">
        <f t="shared" ca="1" si="9"/>
        <v>3217.3215975125795</v>
      </c>
      <c r="F185" s="165">
        <f t="shared" ca="1" si="10"/>
        <v>76566.201677342266</v>
      </c>
      <c r="N185" s="469"/>
      <c r="O185" s="468"/>
    </row>
    <row r="186" spans="2:15" x14ac:dyDescent="0.25">
      <c r="B186" s="163">
        <v>179</v>
      </c>
      <c r="C186" s="164">
        <f t="shared" ca="1" si="12"/>
        <v>4319282.5162772294</v>
      </c>
      <c r="D186" s="164">
        <f t="shared" ca="1" si="11"/>
        <v>79783.523274854859</v>
      </c>
      <c r="E186" s="164">
        <f t="shared" ca="1" si="9"/>
        <v>3274.2681897885532</v>
      </c>
      <c r="F186" s="165">
        <f t="shared" ca="1" si="10"/>
        <v>76509.25508506631</v>
      </c>
      <c r="N186" s="469"/>
      <c r="O186" s="468"/>
    </row>
    <row r="187" spans="2:15" x14ac:dyDescent="0.25">
      <c r="B187" s="163">
        <v>180</v>
      </c>
      <c r="C187" s="164">
        <f t="shared" ca="1" si="12"/>
        <v>4315950.2935404815</v>
      </c>
      <c r="D187" s="164">
        <f t="shared" ca="1" si="11"/>
        <v>79783.523274854844</v>
      </c>
      <c r="E187" s="164">
        <f t="shared" ca="1" si="9"/>
        <v>3332.2227367478099</v>
      </c>
      <c r="F187" s="165">
        <f t="shared" ca="1" si="10"/>
        <v>76451.30053810704</v>
      </c>
      <c r="N187" s="469"/>
      <c r="O187" s="468"/>
    </row>
    <row r="188" spans="2:15" x14ac:dyDescent="0.25">
      <c r="B188" s="163">
        <v>181</v>
      </c>
      <c r="C188" s="164">
        <f t="shared" ca="1" si="12"/>
        <v>4312559.0904612932</v>
      </c>
      <c r="D188" s="164">
        <f t="shared" ca="1" si="11"/>
        <v>79783.523274854844</v>
      </c>
      <c r="E188" s="164">
        <f t="shared" ca="1" si="9"/>
        <v>3391.2030791882471</v>
      </c>
      <c r="F188" s="165">
        <f t="shared" ca="1" si="10"/>
        <v>76392.320195666602</v>
      </c>
      <c r="N188" s="469"/>
      <c r="O188" s="468"/>
    </row>
    <row r="189" spans="2:15" x14ac:dyDescent="0.25">
      <c r="B189" s="163">
        <v>182</v>
      </c>
      <c r="C189" s="164">
        <f t="shared" ca="1" si="12"/>
        <v>4309107.8630876038</v>
      </c>
      <c r="D189" s="164">
        <f t="shared" ca="1" si="11"/>
        <v>79783.523274854859</v>
      </c>
      <c r="E189" s="164">
        <f t="shared" ca="1" si="9"/>
        <v>3451.2273736898783</v>
      </c>
      <c r="F189" s="165">
        <f t="shared" ca="1" si="10"/>
        <v>76332.29590116498</v>
      </c>
      <c r="N189" s="469"/>
      <c r="O189" s="468"/>
    </row>
    <row r="190" spans="2:15" x14ac:dyDescent="0.25">
      <c r="B190" s="163">
        <v>183</v>
      </c>
      <c r="C190" s="164">
        <f t="shared" ca="1" si="12"/>
        <v>4305595.5489893993</v>
      </c>
      <c r="D190" s="164">
        <f t="shared" ca="1" si="11"/>
        <v>79783.523274854873</v>
      </c>
      <c r="E190" s="164">
        <f t="shared" ca="1" si="9"/>
        <v>3512.3140982041896</v>
      </c>
      <c r="F190" s="165">
        <f t="shared" ca="1" si="10"/>
        <v>76271.209176650678</v>
      </c>
      <c r="N190" s="469"/>
      <c r="O190" s="468"/>
    </row>
    <row r="191" spans="2:15" x14ac:dyDescent="0.25">
      <c r="B191" s="163">
        <v>184</v>
      </c>
      <c r="C191" s="164">
        <f t="shared" ca="1" si="12"/>
        <v>4302021.0669316566</v>
      </c>
      <c r="D191" s="164">
        <f t="shared" ca="1" si="11"/>
        <v>79783.523274854844</v>
      </c>
      <c r="E191" s="164">
        <f t="shared" ca="1" si="9"/>
        <v>3574.4820577424025</v>
      </c>
      <c r="F191" s="165">
        <f t="shared" ca="1" si="10"/>
        <v>76209.041217112448</v>
      </c>
      <c r="N191" s="469"/>
      <c r="O191" s="468"/>
    </row>
    <row r="192" spans="2:15" x14ac:dyDescent="0.25">
      <c r="B192" s="163">
        <v>185</v>
      </c>
      <c r="C192" s="164">
        <f t="shared" ca="1" si="12"/>
        <v>4298383.316541492</v>
      </c>
      <c r="D192" s="164">
        <f t="shared" ca="1" si="11"/>
        <v>79783.523274854844</v>
      </c>
      <c r="E192" s="164">
        <f t="shared" ca="1" si="9"/>
        <v>3637.7503901644441</v>
      </c>
      <c r="F192" s="165">
        <f t="shared" ca="1" si="10"/>
        <v>76145.772884690406</v>
      </c>
      <c r="N192" s="469"/>
      <c r="O192" s="468"/>
    </row>
    <row r="193" spans="2:15" x14ac:dyDescent="0.25">
      <c r="B193" s="163">
        <v>186</v>
      </c>
      <c r="C193" s="164">
        <f t="shared" ca="1" si="12"/>
        <v>4294681.1779694213</v>
      </c>
      <c r="D193" s="164">
        <f t="shared" ca="1" si="11"/>
        <v>79783.523274854859</v>
      </c>
      <c r="E193" s="164">
        <f t="shared" ca="1" si="9"/>
        <v>3702.1385720703543</v>
      </c>
      <c r="F193" s="165">
        <f t="shared" ca="1" si="10"/>
        <v>76081.384702784504</v>
      </c>
      <c r="N193" s="469"/>
      <c r="O193" s="468"/>
    </row>
    <row r="194" spans="2:15" x14ac:dyDescent="0.25">
      <c r="B194" s="163">
        <v>187</v>
      </c>
      <c r="C194" s="164">
        <f t="shared" ca="1" si="12"/>
        <v>4290913.5115446253</v>
      </c>
      <c r="D194" s="164">
        <f t="shared" ca="1" si="11"/>
        <v>79783.523274854859</v>
      </c>
      <c r="E194" s="164">
        <f t="shared" ca="1" si="9"/>
        <v>3767.6664247959993</v>
      </c>
      <c r="F194" s="165">
        <f t="shared" ca="1" si="10"/>
        <v>76015.856850058859</v>
      </c>
      <c r="N194" s="469"/>
      <c r="O194" s="468"/>
    </row>
    <row r="195" spans="2:15" x14ac:dyDescent="0.25">
      <c r="B195" s="163">
        <v>188</v>
      </c>
      <c r="C195" s="164">
        <f t="shared" ca="1" si="12"/>
        <v>4287079.15742411</v>
      </c>
      <c r="D195" s="164">
        <f t="shared" ca="1" si="11"/>
        <v>79783.523274854859</v>
      </c>
      <c r="E195" s="164">
        <f t="shared" ca="1" si="9"/>
        <v>3834.354120514889</v>
      </c>
      <c r="F195" s="165">
        <f t="shared" ca="1" si="10"/>
        <v>75949.169154339965</v>
      </c>
      <c r="N195" s="469"/>
      <c r="O195" s="468"/>
    </row>
    <row r="196" spans="2:15" x14ac:dyDescent="0.25">
      <c r="B196" s="163">
        <v>189</v>
      </c>
      <c r="C196" s="164">
        <f t="shared" ca="1" si="12"/>
        <v>4283176.9352356624</v>
      </c>
      <c r="D196" s="164">
        <f t="shared" ca="1" si="11"/>
        <v>79783.523274854844</v>
      </c>
      <c r="E196" s="164">
        <f t="shared" ca="1" si="9"/>
        <v>3902.2221884480018</v>
      </c>
      <c r="F196" s="165">
        <f t="shared" ca="1" si="10"/>
        <v>75881.301086406849</v>
      </c>
      <c r="N196" s="469"/>
      <c r="O196" s="468"/>
    </row>
    <row r="197" spans="2:15" x14ac:dyDescent="0.25">
      <c r="B197" s="163">
        <v>190</v>
      </c>
      <c r="C197" s="164">
        <f t="shared" ca="1" si="12"/>
        <v>4279205.6437144792</v>
      </c>
      <c r="D197" s="164">
        <f t="shared" ca="1" si="11"/>
        <v>79783.523274854859</v>
      </c>
      <c r="E197" s="164">
        <f t="shared" ca="1" si="9"/>
        <v>3971.291521183532</v>
      </c>
      <c r="F197" s="165">
        <f t="shared" ca="1" si="10"/>
        <v>75812.231753671324</v>
      </c>
      <c r="N197" s="469"/>
      <c r="O197" s="468"/>
    </row>
    <row r="198" spans="2:15" x14ac:dyDescent="0.25">
      <c r="B198" s="163">
        <v>191</v>
      </c>
      <c r="C198" s="164">
        <f t="shared" ca="1" si="12"/>
        <v>4275164.0603333702</v>
      </c>
      <c r="D198" s="164">
        <f t="shared" ca="1" si="11"/>
        <v>79783.523274854859</v>
      </c>
      <c r="E198" s="164">
        <f t="shared" ca="1" si="9"/>
        <v>4041.5833811084804</v>
      </c>
      <c r="F198" s="165">
        <f t="shared" ca="1" si="10"/>
        <v>75741.939893746385</v>
      </c>
      <c r="N198" s="469"/>
      <c r="O198" s="468"/>
    </row>
    <row r="199" spans="2:15" x14ac:dyDescent="0.25">
      <c r="B199" s="163">
        <v>192</v>
      </c>
      <c r="C199" s="164">
        <f t="shared" ca="1" si="12"/>
        <v>4271050.9409264158</v>
      </c>
      <c r="D199" s="164">
        <f t="shared" ca="1" si="11"/>
        <v>79783.523274854844</v>
      </c>
      <c r="E199" s="164">
        <f t="shared" ca="1" si="9"/>
        <v>4113.1194069541007</v>
      </c>
      <c r="F199" s="165">
        <f t="shared" ca="1" si="10"/>
        <v>75670.40386790075</v>
      </c>
      <c r="N199" s="469"/>
      <c r="O199" s="468"/>
    </row>
    <row r="200" spans="2:15" x14ac:dyDescent="0.25">
      <c r="B200" s="163">
        <v>193</v>
      </c>
      <c r="C200" s="164">
        <f t="shared" ca="1" si="12"/>
        <v>4266865.0193059584</v>
      </c>
      <c r="D200" s="164">
        <f t="shared" ca="1" si="11"/>
        <v>79783.523274854844</v>
      </c>
      <c r="E200" s="164">
        <f t="shared" ref="E200:E263" ca="1" si="13">-IFERROR(IF(OR(B200&lt;=$J$35,$J$35=0),PPMT($J$40/12,B200,$J$13*12,$J$14),PPMT(($O$5+$J$40)/12,B200-$J$35,$J$13*12-$J$35,$J$14+CUMPRINC($J$40/12,$J$13*12,$J$14,1,$J$35,0))),0)</f>
        <v>4185.9216204571876</v>
      </c>
      <c r="F200" s="165">
        <f t="shared" ref="F200:F263" ca="1" si="14">-IF(AND($O$8,B200&lt;=$J$25,$J$24),IF($H$25="Без процентов",0,0.5),1)*IFERROR(IF(OR(B200&lt;=$J$35,$J$35=0),IPMT($J$40/12,B200,$J$13*12,$J$14),IPMT(($O$5+$J$40)/12,B200-$J$35,$J$13*12-$J$35,$J$14+CUMPRINC($J$40/12,$J$13*12,$J$14,1,$J$35,0),0,0)),0)</f>
        <v>75597.601654397658</v>
      </c>
      <c r="N200" s="469"/>
      <c r="O200" s="468"/>
    </row>
    <row r="201" spans="2:15" x14ac:dyDescent="0.25">
      <c r="B201" s="163">
        <v>194</v>
      </c>
      <c r="C201" s="164">
        <f t="shared" ca="1" si="12"/>
        <v>4262605.0068728188</v>
      </c>
      <c r="D201" s="164">
        <f t="shared" ref="D201:D264" ca="1" si="15">E201+F201</f>
        <v>79783.523274854873</v>
      </c>
      <c r="E201" s="164">
        <f t="shared" ca="1" si="13"/>
        <v>4260.0124331392808</v>
      </c>
      <c r="F201" s="165">
        <f t="shared" ca="1" si="14"/>
        <v>75523.510841715586</v>
      </c>
      <c r="N201" s="469"/>
      <c r="O201" s="468"/>
    </row>
    <row r="202" spans="2:15" x14ac:dyDescent="0.25">
      <c r="B202" s="163">
        <v>195</v>
      </c>
      <c r="C202" s="164">
        <f t="shared" ca="1" si="12"/>
        <v>4258269.5922196126</v>
      </c>
      <c r="D202" s="164">
        <f t="shared" ca="1" si="15"/>
        <v>79783.523274854859</v>
      </c>
      <c r="E202" s="164">
        <f t="shared" ca="1" si="13"/>
        <v>4335.4146532058448</v>
      </c>
      <c r="F202" s="165">
        <f t="shared" ca="1" si="14"/>
        <v>75448.108621649008</v>
      </c>
      <c r="N202" s="469"/>
      <c r="O202" s="468"/>
    </row>
    <row r="203" spans="2:15" x14ac:dyDescent="0.25">
      <c r="B203" s="163">
        <v>196</v>
      </c>
      <c r="C203" s="164">
        <f t="shared" ca="1" si="12"/>
        <v>4253857.4407270448</v>
      </c>
      <c r="D203" s="164">
        <f t="shared" ca="1" si="15"/>
        <v>79783.523274854844</v>
      </c>
      <c r="E203" s="164">
        <f t="shared" ca="1" si="13"/>
        <v>4412.1514925675892</v>
      </c>
      <c r="F203" s="165">
        <f t="shared" ca="1" si="14"/>
        <v>75371.371782287257</v>
      </c>
      <c r="N203" s="469"/>
      <c r="O203" s="468"/>
    </row>
    <row r="204" spans="2:15" x14ac:dyDescent="0.25">
      <c r="B204" s="163">
        <v>197</v>
      </c>
      <c r="C204" s="164">
        <f t="shared" ca="1" si="12"/>
        <v>4249367.1941530583</v>
      </c>
      <c r="D204" s="164">
        <f t="shared" ca="1" si="15"/>
        <v>79783.523274854859</v>
      </c>
      <c r="E204" s="164">
        <f t="shared" ca="1" si="13"/>
        <v>4490.2465739860354</v>
      </c>
      <c r="F204" s="165">
        <f t="shared" ca="1" si="14"/>
        <v>75293.276700868824</v>
      </c>
      <c r="N204" s="469"/>
      <c r="O204" s="468"/>
    </row>
    <row r="205" spans="2:15" x14ac:dyDescent="0.25">
      <c r="B205" s="163">
        <v>198</v>
      </c>
      <c r="C205" s="164">
        <f t="shared" ca="1" si="12"/>
        <v>4244797.4702147124</v>
      </c>
      <c r="D205" s="164">
        <f t="shared" ca="1" si="15"/>
        <v>79783.523274854859</v>
      </c>
      <c r="E205" s="164">
        <f t="shared" ca="1" si="13"/>
        <v>4569.723938345589</v>
      </c>
      <c r="F205" s="165">
        <f t="shared" ca="1" si="14"/>
        <v>75213.79933650927</v>
      </c>
      <c r="N205" s="469"/>
      <c r="O205" s="468"/>
    </row>
    <row r="206" spans="2:15" x14ac:dyDescent="0.25">
      <c r="B206" s="163">
        <v>199</v>
      </c>
      <c r="C206" s="164">
        <f t="shared" ca="1" si="12"/>
        <v>4240146.862162658</v>
      </c>
      <c r="D206" s="164">
        <f t="shared" ca="1" si="15"/>
        <v>79783.523274854859</v>
      </c>
      <c r="E206" s="164">
        <f t="shared" ca="1" si="13"/>
        <v>4650.6080520543055</v>
      </c>
      <c r="F206" s="165">
        <f t="shared" ca="1" si="14"/>
        <v>75132.915222800555</v>
      </c>
      <c r="N206" s="469"/>
      <c r="O206" s="468"/>
    </row>
    <row r="207" spans="2:15" x14ac:dyDescent="0.25">
      <c r="B207" s="163">
        <v>200</v>
      </c>
      <c r="C207" s="164">
        <f t="shared" ca="1" si="12"/>
        <v>4235413.9383480819</v>
      </c>
      <c r="D207" s="164">
        <f t="shared" ca="1" si="15"/>
        <v>79783.523274854844</v>
      </c>
      <c r="E207" s="164">
        <f t="shared" ca="1" si="13"/>
        <v>4732.9238145756672</v>
      </c>
      <c r="F207" s="165">
        <f t="shared" ca="1" si="14"/>
        <v>75050.599460279176</v>
      </c>
      <c r="N207" s="469"/>
      <c r="O207" s="468"/>
    </row>
    <row r="208" spans="2:15" x14ac:dyDescent="0.25">
      <c r="B208" s="163">
        <v>201</v>
      </c>
      <c r="C208" s="164">
        <f t="shared" ca="1" si="12"/>
        <v>4230597.2417819882</v>
      </c>
      <c r="D208" s="164">
        <f t="shared" ca="1" si="15"/>
        <v>79783.523274854859</v>
      </c>
      <c r="E208" s="164">
        <f t="shared" ca="1" si="13"/>
        <v>4816.6965660936557</v>
      </c>
      <c r="F208" s="165">
        <f t="shared" ca="1" si="14"/>
        <v>74966.826708761204</v>
      </c>
      <c r="N208" s="469"/>
      <c r="O208" s="468"/>
    </row>
    <row r="209" spans="2:15" x14ac:dyDescent="0.25">
      <c r="B209" s="163">
        <v>202</v>
      </c>
      <c r="C209" s="164">
        <f t="shared" ca="1" si="12"/>
        <v>4225695.2896866743</v>
      </c>
      <c r="D209" s="164">
        <f t="shared" ca="1" si="15"/>
        <v>79783.523274854844</v>
      </c>
      <c r="E209" s="164">
        <f t="shared" ca="1" si="13"/>
        <v>4901.9520953135125</v>
      </c>
      <c r="F209" s="165">
        <f t="shared" ca="1" si="14"/>
        <v>74881.571179541337</v>
      </c>
      <c r="N209" s="469"/>
      <c r="O209" s="468"/>
    </row>
    <row r="210" spans="2:15" x14ac:dyDescent="0.25">
      <c r="B210" s="163">
        <v>203</v>
      </c>
      <c r="C210" s="164">
        <f t="shared" ca="1" si="12"/>
        <v>4220706.5730392737</v>
      </c>
      <c r="D210" s="164">
        <f t="shared" ca="1" si="15"/>
        <v>79783.523274854859</v>
      </c>
      <c r="E210" s="164">
        <f t="shared" ca="1" si="13"/>
        <v>4988.7166474005617</v>
      </c>
      <c r="F210" s="165">
        <f t="shared" ca="1" si="14"/>
        <v>74794.806627454294</v>
      </c>
      <c r="N210" s="469"/>
      <c r="O210" s="468"/>
    </row>
    <row r="211" spans="2:15" x14ac:dyDescent="0.25">
      <c r="B211" s="163">
        <v>204</v>
      </c>
      <c r="C211" s="164">
        <f t="shared" ca="1" si="12"/>
        <v>4215629.5561072137</v>
      </c>
      <c r="D211" s="164">
        <f t="shared" ca="1" si="15"/>
        <v>79783.523274854844</v>
      </c>
      <c r="E211" s="164">
        <f t="shared" ca="1" si="13"/>
        <v>5077.0169320595514</v>
      </c>
      <c r="F211" s="165">
        <f t="shared" ca="1" si="14"/>
        <v>74706.506342795299</v>
      </c>
      <c r="N211" s="469"/>
      <c r="O211" s="468"/>
    </row>
    <row r="212" spans="2:15" x14ac:dyDescent="0.25">
      <c r="B212" s="163">
        <v>205</v>
      </c>
      <c r="C212" s="164">
        <f t="shared" ca="1" si="12"/>
        <v>4210462.6759754568</v>
      </c>
      <c r="D212" s="164">
        <f t="shared" ca="1" si="15"/>
        <v>79783.523274854859</v>
      </c>
      <c r="E212" s="164">
        <f t="shared" ca="1" si="13"/>
        <v>5166.8801317570069</v>
      </c>
      <c r="F212" s="165">
        <f t="shared" ca="1" si="14"/>
        <v>74616.643143097855</v>
      </c>
      <c r="N212" s="469"/>
      <c r="O212" s="468"/>
    </row>
    <row r="213" spans="2:15" x14ac:dyDescent="0.25">
      <c r="B213" s="163">
        <v>206</v>
      </c>
      <c r="C213" s="164">
        <f t="shared" ref="C213:C276" ca="1" si="16">C212-E213</f>
        <v>4205204.3420653678</v>
      </c>
      <c r="D213" s="164">
        <f t="shared" ca="1" si="15"/>
        <v>79783.523274854859</v>
      </c>
      <c r="E213" s="164">
        <f t="shared" ca="1" si="13"/>
        <v>5258.3339100891053</v>
      </c>
      <c r="F213" s="165">
        <f t="shared" ca="1" si="14"/>
        <v>74525.189364765756</v>
      </c>
      <c r="N213" s="469"/>
      <c r="O213" s="468"/>
    </row>
    <row r="214" spans="2:15" x14ac:dyDescent="0.25">
      <c r="B214" s="163">
        <v>207</v>
      </c>
      <c r="C214" s="164">
        <f t="shared" ca="1" si="16"/>
        <v>4199852.9356450699</v>
      </c>
      <c r="D214" s="164">
        <f t="shared" ca="1" si="15"/>
        <v>79783.523274854844</v>
      </c>
      <c r="E214" s="164">
        <f t="shared" ca="1" si="13"/>
        <v>5351.4064202976833</v>
      </c>
      <c r="F214" s="165">
        <f t="shared" ca="1" si="14"/>
        <v>74432.116854557156</v>
      </c>
      <c r="N214" s="469"/>
      <c r="O214" s="468"/>
    </row>
    <row r="215" spans="2:15" x14ac:dyDescent="0.25">
      <c r="B215" s="163">
        <v>208</v>
      </c>
      <c r="C215" s="164">
        <f t="shared" ca="1" si="16"/>
        <v>4194406.809331133</v>
      </c>
      <c r="D215" s="164">
        <f t="shared" ca="1" si="15"/>
        <v>79783.523274854859</v>
      </c>
      <c r="E215" s="164">
        <f t="shared" ca="1" si="13"/>
        <v>5446.1263139369503</v>
      </c>
      <c r="F215" s="165">
        <f t="shared" ca="1" si="14"/>
        <v>74337.396960917904</v>
      </c>
      <c r="N215" s="469"/>
      <c r="O215" s="468"/>
    </row>
    <row r="216" spans="2:15" x14ac:dyDescent="0.25">
      <c r="B216" s="163">
        <v>209</v>
      </c>
      <c r="C216" s="164">
        <f t="shared" ca="1" si="16"/>
        <v>4188864.2865814394</v>
      </c>
      <c r="D216" s="164">
        <f t="shared" ca="1" si="15"/>
        <v>79783.523274854859</v>
      </c>
      <c r="E216" s="164">
        <f t="shared" ca="1" si="13"/>
        <v>5542.5227496936368</v>
      </c>
      <c r="F216" s="165">
        <f t="shared" ca="1" si="14"/>
        <v>74241.000525161217</v>
      </c>
      <c r="N216" s="469"/>
      <c r="O216" s="468"/>
    </row>
    <row r="217" spans="2:15" x14ac:dyDescent="0.25">
      <c r="B217" s="163">
        <v>210</v>
      </c>
      <c r="C217" s="164">
        <f t="shared" ca="1" si="16"/>
        <v>4183223.6611790764</v>
      </c>
      <c r="D217" s="164">
        <f t="shared" ca="1" si="15"/>
        <v>79783.523274854844</v>
      </c>
      <c r="E217" s="164">
        <f t="shared" ca="1" si="13"/>
        <v>5640.6254023632127</v>
      </c>
      <c r="F217" s="165">
        <f t="shared" ca="1" si="14"/>
        <v>74142.897872491638</v>
      </c>
      <c r="N217" s="469"/>
      <c r="O217" s="468"/>
    </row>
    <row r="218" spans="2:15" x14ac:dyDescent="0.25">
      <c r="B218" s="163">
        <v>211</v>
      </c>
      <c r="C218" s="164">
        <f t="shared" ca="1" si="16"/>
        <v>4177483.1967070913</v>
      </c>
      <c r="D218" s="164">
        <f t="shared" ca="1" si="15"/>
        <v>79783.523274854873</v>
      </c>
      <c r="E218" s="164">
        <f t="shared" ca="1" si="13"/>
        <v>5740.464471985043</v>
      </c>
      <c r="F218" s="165">
        <f t="shared" ca="1" si="14"/>
        <v>74043.058802869826</v>
      </c>
      <c r="N218" s="469"/>
      <c r="O218" s="468"/>
    </row>
    <row r="219" spans="2:15" x14ac:dyDescent="0.25">
      <c r="B219" s="163">
        <v>212</v>
      </c>
      <c r="C219" s="164">
        <f t="shared" ca="1" si="16"/>
        <v>4171641.1260139523</v>
      </c>
      <c r="D219" s="164">
        <f t="shared" ca="1" si="15"/>
        <v>79783.523274854859</v>
      </c>
      <c r="E219" s="164">
        <f t="shared" ca="1" si="13"/>
        <v>5842.0706931391769</v>
      </c>
      <c r="F219" s="165">
        <f t="shared" ca="1" si="14"/>
        <v>73941.452581715683</v>
      </c>
      <c r="N219" s="469"/>
      <c r="O219" s="468"/>
    </row>
    <row r="220" spans="2:15" x14ac:dyDescent="0.25">
      <c r="B220" s="163">
        <v>213</v>
      </c>
      <c r="C220" s="164">
        <f t="shared" ca="1" si="16"/>
        <v>4165695.6506695445</v>
      </c>
      <c r="D220" s="164">
        <f t="shared" ca="1" si="15"/>
        <v>79783.523274854844</v>
      </c>
      <c r="E220" s="164">
        <f t="shared" ca="1" si="13"/>
        <v>5945.4753444077423</v>
      </c>
      <c r="F220" s="165">
        <f t="shared" ca="1" si="14"/>
        <v>73838.047930447108</v>
      </c>
      <c r="N220" s="469"/>
      <c r="O220" s="468"/>
    </row>
    <row r="221" spans="2:15" x14ac:dyDescent="0.25">
      <c r="B221" s="163">
        <v>214</v>
      </c>
      <c r="C221" s="164">
        <f t="shared" ca="1" si="16"/>
        <v>4159644.9404115407</v>
      </c>
      <c r="D221" s="164">
        <f t="shared" ca="1" si="15"/>
        <v>79783.523274854859</v>
      </c>
      <c r="E221" s="164">
        <f t="shared" ca="1" si="13"/>
        <v>6050.7102580037572</v>
      </c>
      <c r="F221" s="165">
        <f t="shared" ca="1" si="14"/>
        <v>73732.813016851098</v>
      </c>
      <c r="N221" s="469"/>
      <c r="O221" s="468"/>
    </row>
    <row r="222" spans="2:15" x14ac:dyDescent="0.25">
      <c r="B222" s="163">
        <v>215</v>
      </c>
      <c r="C222" s="164">
        <f t="shared" ca="1" si="16"/>
        <v>4153487.1325819702</v>
      </c>
      <c r="D222" s="164">
        <f t="shared" ca="1" si="15"/>
        <v>79783.523274854844</v>
      </c>
      <c r="E222" s="164">
        <f t="shared" ca="1" si="13"/>
        <v>6157.8078295704254</v>
      </c>
      <c r="F222" s="165">
        <f t="shared" ca="1" si="14"/>
        <v>73625.715445284426</v>
      </c>
      <c r="N222" s="469"/>
      <c r="O222" s="468"/>
    </row>
    <row r="223" spans="2:15" x14ac:dyDescent="0.25">
      <c r="B223" s="163">
        <v>216</v>
      </c>
      <c r="C223" s="164">
        <f t="shared" ca="1" si="16"/>
        <v>4147220.3315538163</v>
      </c>
      <c r="D223" s="164">
        <f t="shared" ca="1" si="15"/>
        <v>79783.523274854859</v>
      </c>
      <c r="E223" s="164">
        <f t="shared" ca="1" si="13"/>
        <v>6266.8010281538209</v>
      </c>
      <c r="F223" s="165">
        <f t="shared" ca="1" si="14"/>
        <v>73516.722246701043</v>
      </c>
      <c r="N223" s="469"/>
      <c r="O223" s="468"/>
    </row>
    <row r="224" spans="2:15" x14ac:dyDescent="0.25">
      <c r="B224" s="163">
        <v>217</v>
      </c>
      <c r="C224" s="164">
        <f t="shared" ca="1" si="16"/>
        <v>4140842.6081474642</v>
      </c>
      <c r="D224" s="164">
        <f t="shared" ca="1" si="15"/>
        <v>79783.523274854859</v>
      </c>
      <c r="E224" s="164">
        <f t="shared" ca="1" si="13"/>
        <v>6377.7234063521419</v>
      </c>
      <c r="F224" s="165">
        <f t="shared" ca="1" si="14"/>
        <v>73405.799868502712</v>
      </c>
      <c r="N224" s="469"/>
      <c r="O224" s="468"/>
    </row>
    <row r="225" spans="2:15" x14ac:dyDescent="0.25">
      <c r="B225" s="163">
        <v>218</v>
      </c>
      <c r="C225" s="164">
        <f t="shared" ca="1" si="16"/>
        <v>4134351.9990368197</v>
      </c>
      <c r="D225" s="164">
        <f t="shared" ca="1" si="15"/>
        <v>79783.523274854859</v>
      </c>
      <c r="E225" s="164">
        <f t="shared" ca="1" si="13"/>
        <v>6490.6091106445765</v>
      </c>
      <c r="F225" s="165">
        <f t="shared" ca="1" si="14"/>
        <v>73292.914164210277</v>
      </c>
      <c r="N225" s="469"/>
      <c r="O225" s="468"/>
    </row>
    <row r="226" spans="2:15" x14ac:dyDescent="0.25">
      <c r="B226" s="163">
        <v>219</v>
      </c>
      <c r="C226" s="164">
        <f t="shared" ca="1" si="16"/>
        <v>4127746.5061449166</v>
      </c>
      <c r="D226" s="164">
        <f t="shared" ca="1" si="15"/>
        <v>79783.523274854859</v>
      </c>
      <c r="E226" s="164">
        <f t="shared" ca="1" si="13"/>
        <v>6605.4928919029835</v>
      </c>
      <c r="F226" s="165">
        <f t="shared" ca="1" si="14"/>
        <v>73178.030382951882</v>
      </c>
      <c r="N226" s="469"/>
      <c r="O226" s="468"/>
    </row>
    <row r="227" spans="2:15" x14ac:dyDescent="0.25">
      <c r="B227" s="163">
        <v>220</v>
      </c>
      <c r="C227" s="164">
        <f t="shared" ca="1" si="16"/>
        <v>4121024.0960288271</v>
      </c>
      <c r="D227" s="164">
        <f t="shared" ca="1" si="15"/>
        <v>79783.523274854844</v>
      </c>
      <c r="E227" s="164">
        <f t="shared" ca="1" si="13"/>
        <v>6722.4101160896689</v>
      </c>
      <c r="F227" s="165">
        <f t="shared" ca="1" si="14"/>
        <v>73061.113158765176</v>
      </c>
      <c r="N227" s="469"/>
      <c r="O227" s="468"/>
    </row>
    <row r="228" spans="2:15" x14ac:dyDescent="0.25">
      <c r="B228" s="163">
        <v>221</v>
      </c>
      <c r="C228" s="164">
        <f t="shared" ca="1" si="16"/>
        <v>4114182.6992536825</v>
      </c>
      <c r="D228" s="164">
        <f t="shared" ca="1" si="15"/>
        <v>79783.523274854859</v>
      </c>
      <c r="E228" s="164">
        <f t="shared" ca="1" si="13"/>
        <v>6841.3967751444543</v>
      </c>
      <c r="F228" s="165">
        <f t="shared" ca="1" si="14"/>
        <v>72942.126499710401</v>
      </c>
      <c r="N228" s="469"/>
      <c r="O228" s="468"/>
    </row>
    <row r="229" spans="2:15" x14ac:dyDescent="0.25">
      <c r="B229" s="163">
        <v>222</v>
      </c>
      <c r="C229" s="164">
        <f t="shared" ca="1" si="16"/>
        <v>4107220.2097556181</v>
      </c>
      <c r="D229" s="164">
        <f t="shared" ca="1" si="15"/>
        <v>79783.523274854844</v>
      </c>
      <c r="E229" s="164">
        <f t="shared" ca="1" si="13"/>
        <v>6962.4894980645113</v>
      </c>
      <c r="F229" s="165">
        <f t="shared" ca="1" si="14"/>
        <v>72821.03377679034</v>
      </c>
      <c r="N229" s="469"/>
      <c r="O229" s="468"/>
    </row>
    <row r="230" spans="2:15" x14ac:dyDescent="0.25">
      <c r="B230" s="163">
        <v>223</v>
      </c>
      <c r="C230" s="164">
        <f t="shared" ca="1" si="16"/>
        <v>4100134.4841934377</v>
      </c>
      <c r="D230" s="164">
        <f t="shared" ca="1" si="15"/>
        <v>79783.523274854859</v>
      </c>
      <c r="E230" s="164">
        <f t="shared" ca="1" si="13"/>
        <v>7085.7255621802524</v>
      </c>
      <c r="F230" s="165">
        <f t="shared" ca="1" si="14"/>
        <v>72697.797712674612</v>
      </c>
      <c r="N230" s="469"/>
      <c r="O230" s="468"/>
    </row>
    <row r="231" spans="2:15" x14ac:dyDescent="0.25">
      <c r="B231" s="163">
        <v>224</v>
      </c>
      <c r="C231" s="164">
        <f t="shared" ca="1" si="16"/>
        <v>4092923.3412888069</v>
      </c>
      <c r="D231" s="164">
        <f t="shared" ca="1" si="15"/>
        <v>79783.523274854859</v>
      </c>
      <c r="E231" s="164">
        <f t="shared" ca="1" si="13"/>
        <v>7211.1429046308449</v>
      </c>
      <c r="F231" s="165">
        <f t="shared" ca="1" si="14"/>
        <v>72572.380370224011</v>
      </c>
      <c r="N231" s="469"/>
      <c r="O231" s="468"/>
    </row>
    <row r="232" spans="2:15" x14ac:dyDescent="0.25">
      <c r="B232" s="163">
        <v>225</v>
      </c>
      <c r="C232" s="164">
        <f t="shared" ca="1" si="16"/>
        <v>4085584.5611547641</v>
      </c>
      <c r="D232" s="164">
        <f t="shared" ca="1" si="15"/>
        <v>79783.523274854859</v>
      </c>
      <c r="E232" s="164">
        <f t="shared" ca="1" si="13"/>
        <v>7338.7801340428086</v>
      </c>
      <c r="F232" s="165">
        <f t="shared" ca="1" si="14"/>
        <v>72444.743140812046</v>
      </c>
      <c r="N232" s="469"/>
      <c r="O232" s="468"/>
    </row>
    <row r="233" spans="2:15" x14ac:dyDescent="0.25">
      <c r="B233" s="163">
        <v>226</v>
      </c>
      <c r="C233" s="164">
        <f t="shared" ca="1" si="16"/>
        <v>4078115.8846123489</v>
      </c>
      <c r="D233" s="164">
        <f t="shared" ca="1" si="15"/>
        <v>79783.523274854859</v>
      </c>
      <c r="E233" s="164">
        <f t="shared" ca="1" si="13"/>
        <v>7468.67654241537</v>
      </c>
      <c r="F233" s="165">
        <f t="shared" ca="1" si="14"/>
        <v>72314.846732439488</v>
      </c>
      <c r="N233" s="469"/>
      <c r="O233" s="468"/>
    </row>
    <row r="234" spans="2:15" x14ac:dyDescent="0.25">
      <c r="B234" s="163">
        <v>227</v>
      </c>
      <c r="C234" s="164">
        <f t="shared" ca="1" si="16"/>
        <v>4070515.0124951326</v>
      </c>
      <c r="D234" s="164">
        <f t="shared" ca="1" si="15"/>
        <v>79783.523274854844</v>
      </c>
      <c r="E234" s="164">
        <f t="shared" ca="1" si="13"/>
        <v>7600.8721172161195</v>
      </c>
      <c r="F234" s="165">
        <f t="shared" ca="1" si="14"/>
        <v>72182.651157638727</v>
      </c>
      <c r="N234" s="469"/>
      <c r="O234" s="468"/>
    </row>
    <row r="235" spans="2:15" x14ac:dyDescent="0.25">
      <c r="B235" s="163">
        <v>228</v>
      </c>
      <c r="C235" s="164">
        <f t="shared" ca="1" si="16"/>
        <v>4062779.6049414417</v>
      </c>
      <c r="D235" s="164">
        <f t="shared" ca="1" si="15"/>
        <v>79783.523274854859</v>
      </c>
      <c r="E235" s="164">
        <f t="shared" ca="1" si="13"/>
        <v>7735.4075536908467</v>
      </c>
      <c r="F235" s="165">
        <f t="shared" ca="1" si="14"/>
        <v>72048.115721164009</v>
      </c>
      <c r="N235" s="469"/>
      <c r="O235" s="468"/>
    </row>
    <row r="236" spans="2:15" x14ac:dyDescent="0.25">
      <c r="B236" s="163">
        <v>229</v>
      </c>
      <c r="C236" s="164">
        <f t="shared" ca="1" si="16"/>
        <v>4054907.2806740506</v>
      </c>
      <c r="D236" s="164">
        <f t="shared" ca="1" si="15"/>
        <v>79783.523274854859</v>
      </c>
      <c r="E236" s="164">
        <f t="shared" ca="1" si="13"/>
        <v>7872.3242673911727</v>
      </c>
      <c r="F236" s="165">
        <f t="shared" ca="1" si="14"/>
        <v>71911.199007463685</v>
      </c>
      <c r="N236" s="469"/>
      <c r="O236" s="468"/>
    </row>
    <row r="237" spans="2:15" x14ac:dyDescent="0.25">
      <c r="B237" s="163">
        <v>230</v>
      </c>
      <c r="C237" s="164">
        <f t="shared" ca="1" si="16"/>
        <v>4046895.6162671265</v>
      </c>
      <c r="D237" s="164">
        <f t="shared" ca="1" si="15"/>
        <v>79783.523274854859</v>
      </c>
      <c r="E237" s="164">
        <f t="shared" ca="1" si="13"/>
        <v>8011.6644069239992</v>
      </c>
      <c r="F237" s="165">
        <f t="shared" ca="1" si="14"/>
        <v>71771.85886793086</v>
      </c>
      <c r="N237" s="469"/>
      <c r="O237" s="468"/>
    </row>
    <row r="238" spans="2:15" x14ac:dyDescent="0.25">
      <c r="B238" s="163">
        <v>231</v>
      </c>
      <c r="C238" s="164">
        <f t="shared" ca="1" si="16"/>
        <v>4038742.1454002</v>
      </c>
      <c r="D238" s="164">
        <f t="shared" ca="1" si="15"/>
        <v>79783.523274854859</v>
      </c>
      <c r="E238" s="164">
        <f t="shared" ca="1" si="13"/>
        <v>8153.4708669265519</v>
      </c>
      <c r="F238" s="165">
        <f t="shared" ca="1" si="14"/>
        <v>71630.052407928306</v>
      </c>
      <c r="N238" s="469"/>
      <c r="O238" s="468"/>
    </row>
    <row r="239" spans="2:15" x14ac:dyDescent="0.25">
      <c r="B239" s="163">
        <v>232</v>
      </c>
      <c r="C239" s="164">
        <f t="shared" ca="1" si="16"/>
        <v>4030444.3580989288</v>
      </c>
      <c r="D239" s="164">
        <f t="shared" ca="1" si="15"/>
        <v>79783.523274854844</v>
      </c>
      <c r="E239" s="164">
        <f t="shared" ca="1" si="13"/>
        <v>8297.7873012711534</v>
      </c>
      <c r="F239" s="165">
        <f t="shared" ca="1" si="14"/>
        <v>71485.735973583694</v>
      </c>
      <c r="N239" s="469"/>
      <c r="O239" s="468"/>
    </row>
    <row r="240" spans="2:15" x14ac:dyDescent="0.25">
      <c r="B240" s="163">
        <v>233</v>
      </c>
      <c r="C240" s="164">
        <f t="shared" ca="1" si="16"/>
        <v>4021999.699962425</v>
      </c>
      <c r="D240" s="164">
        <f t="shared" ca="1" si="15"/>
        <v>79783.523274854859</v>
      </c>
      <c r="E240" s="164">
        <f t="shared" ca="1" si="13"/>
        <v>8444.6581365036509</v>
      </c>
      <c r="F240" s="165">
        <f t="shared" ca="1" si="14"/>
        <v>71338.865138351204</v>
      </c>
      <c r="N240" s="469"/>
      <c r="O240" s="468"/>
    </row>
    <row r="241" spans="2:15" x14ac:dyDescent="0.25">
      <c r="B241" s="163">
        <v>234</v>
      </c>
      <c r="C241" s="164">
        <f t="shared" ca="1" si="16"/>
        <v>4013405.5713769053</v>
      </c>
      <c r="D241" s="164">
        <f t="shared" ca="1" si="15"/>
        <v>79783.523274854859</v>
      </c>
      <c r="E241" s="164">
        <f t="shared" ca="1" si="13"/>
        <v>8594.1285855197639</v>
      </c>
      <c r="F241" s="165">
        <f t="shared" ca="1" si="14"/>
        <v>71189.394689335095</v>
      </c>
      <c r="N241" s="469"/>
      <c r="O241" s="468"/>
    </row>
    <row r="242" spans="2:15" x14ac:dyDescent="0.25">
      <c r="B242" s="163">
        <v>235</v>
      </c>
      <c r="C242" s="164">
        <f t="shared" ca="1" si="16"/>
        <v>4004659.3267154219</v>
      </c>
      <c r="D242" s="164">
        <f t="shared" ca="1" si="15"/>
        <v>79783.523274854859</v>
      </c>
      <c r="E242" s="164">
        <f t="shared" ca="1" si="13"/>
        <v>8746.2446614834662</v>
      </c>
      <c r="F242" s="165">
        <f t="shared" ca="1" si="14"/>
        <v>71037.278613371396</v>
      </c>
      <c r="N242" s="469"/>
      <c r="O242" s="468"/>
    </row>
    <row r="243" spans="2:15" x14ac:dyDescent="0.25">
      <c r="B243" s="163">
        <v>236</v>
      </c>
      <c r="C243" s="164">
        <f t="shared" ca="1" si="16"/>
        <v>3995758.2735234303</v>
      </c>
      <c r="D243" s="164">
        <f t="shared" ca="1" si="15"/>
        <v>79783.523274854859</v>
      </c>
      <c r="E243" s="164">
        <f t="shared" ca="1" si="13"/>
        <v>8901.053191991723</v>
      </c>
      <c r="F243" s="165">
        <f t="shared" ca="1" si="14"/>
        <v>70882.470082863132</v>
      </c>
      <c r="N243" s="469"/>
      <c r="O243" s="468"/>
    </row>
    <row r="244" spans="2:15" x14ac:dyDescent="0.25">
      <c r="B244" s="163">
        <v>237</v>
      </c>
      <c r="C244" s="164">
        <f t="shared" ca="1" si="16"/>
        <v>3986699.6716899402</v>
      </c>
      <c r="D244" s="164">
        <f t="shared" ca="1" si="15"/>
        <v>79783.523274854844</v>
      </c>
      <c r="E244" s="164">
        <f t="shared" ca="1" si="13"/>
        <v>9058.6018334899782</v>
      </c>
      <c r="F244" s="165">
        <f t="shared" ca="1" si="14"/>
        <v>70724.921441364873</v>
      </c>
      <c r="N244" s="469"/>
      <c r="O244" s="468"/>
    </row>
    <row r="245" spans="2:15" x14ac:dyDescent="0.25">
      <c r="B245" s="163">
        <v>238</v>
      </c>
      <c r="C245" s="164">
        <f t="shared" ca="1" si="16"/>
        <v>3977480.7326039975</v>
      </c>
      <c r="D245" s="164">
        <f t="shared" ca="1" si="15"/>
        <v>79783.523274854859</v>
      </c>
      <c r="E245" s="164">
        <f t="shared" ca="1" si="13"/>
        <v>9218.9390859427476</v>
      </c>
      <c r="F245" s="165">
        <f t="shared" ca="1" si="14"/>
        <v>70564.584188912107</v>
      </c>
      <c r="N245" s="469"/>
      <c r="O245" s="468"/>
    </row>
    <row r="246" spans="2:15" x14ac:dyDescent="0.25">
      <c r="B246" s="163">
        <v>239</v>
      </c>
      <c r="C246" s="164">
        <f t="shared" ca="1" si="16"/>
        <v>3968098.6182962335</v>
      </c>
      <c r="D246" s="164">
        <f t="shared" ca="1" si="15"/>
        <v>79783.523274854859</v>
      </c>
      <c r="E246" s="164">
        <f t="shared" ca="1" si="13"/>
        <v>9382.1143077639372</v>
      </c>
      <c r="F246" s="165">
        <f t="shared" ca="1" si="14"/>
        <v>70401.408967090916</v>
      </c>
      <c r="N246" s="469"/>
      <c r="O246" s="468"/>
    </row>
    <row r="247" spans="2:15" x14ac:dyDescent="0.25">
      <c r="B247" s="163">
        <v>240</v>
      </c>
      <c r="C247" s="164">
        <f t="shared" ca="1" si="16"/>
        <v>3958550.4405652219</v>
      </c>
      <c r="D247" s="164">
        <f t="shared" ca="1" si="15"/>
        <v>79783.523274854859</v>
      </c>
      <c r="E247" s="164">
        <f t="shared" ca="1" si="13"/>
        <v>9548.1777310113557</v>
      </c>
      <c r="F247" s="165">
        <f t="shared" ca="1" si="14"/>
        <v>70235.345543843505</v>
      </c>
      <c r="N247" s="469"/>
      <c r="O247" s="468"/>
    </row>
    <row r="248" spans="2:15" x14ac:dyDescent="0.25">
      <c r="B248" s="163">
        <v>241</v>
      </c>
      <c r="C248" s="164">
        <f t="shared" ca="1" si="16"/>
        <v>3948833.2600883716</v>
      </c>
      <c r="D248" s="164">
        <f t="shared" ca="1" si="15"/>
        <v>79783.523274854859</v>
      </c>
      <c r="E248" s="164">
        <f t="shared" ca="1" si="13"/>
        <v>9717.1804768502589</v>
      </c>
      <c r="F248" s="165">
        <f t="shared" ca="1" si="14"/>
        <v>70066.342798004596</v>
      </c>
      <c r="N248" s="469"/>
      <c r="O248" s="468"/>
    </row>
    <row r="249" spans="2:15" x14ac:dyDescent="0.25">
      <c r="B249" s="163">
        <v>242</v>
      </c>
      <c r="C249" s="164">
        <f t="shared" ca="1" si="16"/>
        <v>3938944.085517081</v>
      </c>
      <c r="D249" s="164">
        <f t="shared" ca="1" si="15"/>
        <v>79783.523274854859</v>
      </c>
      <c r="E249" s="164">
        <f t="shared" ca="1" si="13"/>
        <v>9889.1745712905067</v>
      </c>
      <c r="F249" s="165">
        <f t="shared" ca="1" si="14"/>
        <v>69894.348703564348</v>
      </c>
      <c r="N249" s="469"/>
      <c r="O249" s="468"/>
    </row>
    <row r="250" spans="2:15" x14ac:dyDescent="0.25">
      <c r="B250" s="163">
        <v>243</v>
      </c>
      <c r="C250" s="164">
        <f t="shared" ca="1" si="16"/>
        <v>3928879.8725558785</v>
      </c>
      <c r="D250" s="164">
        <f t="shared" ca="1" si="15"/>
        <v>79783.523274854859</v>
      </c>
      <c r="E250" s="164">
        <f t="shared" ca="1" si="13"/>
        <v>10064.212961202351</v>
      </c>
      <c r="F250" s="165">
        <f t="shared" ca="1" si="14"/>
        <v>69719.310313652502</v>
      </c>
      <c r="N250" s="469"/>
      <c r="O250" s="468"/>
    </row>
    <row r="251" spans="2:15" x14ac:dyDescent="0.25">
      <c r="B251" s="163">
        <v>244</v>
      </c>
      <c r="C251" s="164">
        <f t="shared" ca="1" si="16"/>
        <v>3918637.5230252626</v>
      </c>
      <c r="D251" s="164">
        <f t="shared" ca="1" si="15"/>
        <v>79783.523274854844</v>
      </c>
      <c r="E251" s="164">
        <f t="shared" ca="1" si="13"/>
        <v>10242.349530615631</v>
      </c>
      <c r="F251" s="165">
        <f t="shared" ca="1" si="14"/>
        <v>69541.173744239219</v>
      </c>
      <c r="N251" s="469"/>
      <c r="O251" s="468"/>
    </row>
    <row r="252" spans="2:15" x14ac:dyDescent="0.25">
      <c r="B252" s="163">
        <v>245</v>
      </c>
      <c r="C252" s="164">
        <f t="shared" ca="1" si="16"/>
        <v>3908213.8839079551</v>
      </c>
      <c r="D252" s="164">
        <f t="shared" ca="1" si="15"/>
        <v>79783.523274854844</v>
      </c>
      <c r="E252" s="164">
        <f t="shared" ca="1" si="13"/>
        <v>10423.639117307532</v>
      </c>
      <c r="F252" s="165">
        <f t="shared" ca="1" si="14"/>
        <v>69359.88415754732</v>
      </c>
      <c r="N252" s="469"/>
      <c r="O252" s="468"/>
    </row>
    <row r="253" spans="2:15" x14ac:dyDescent="0.25">
      <c r="B253" s="163">
        <v>246</v>
      </c>
      <c r="C253" s="164">
        <f t="shared" ca="1" si="16"/>
        <v>3897605.7463782714</v>
      </c>
      <c r="D253" s="164">
        <f t="shared" ca="1" si="15"/>
        <v>79783.523274854844</v>
      </c>
      <c r="E253" s="164">
        <f t="shared" ca="1" si="13"/>
        <v>10608.137529683871</v>
      </c>
      <c r="F253" s="165">
        <f t="shared" ca="1" si="14"/>
        <v>69175.385745170977</v>
      </c>
      <c r="N253" s="469"/>
      <c r="O253" s="468"/>
    </row>
    <row r="254" spans="2:15" x14ac:dyDescent="0.25">
      <c r="B254" s="163">
        <v>247</v>
      </c>
      <c r="C254" s="164">
        <f t="shared" ca="1" si="16"/>
        <v>3886809.8448143122</v>
      </c>
      <c r="D254" s="164">
        <f t="shared" ca="1" si="15"/>
        <v>79783.523274854859</v>
      </c>
      <c r="E254" s="164">
        <f t="shared" ca="1" si="13"/>
        <v>10795.901563959278</v>
      </c>
      <c r="F254" s="165">
        <f t="shared" ca="1" si="14"/>
        <v>68987.621710895575</v>
      </c>
      <c r="N254" s="469"/>
      <c r="O254" s="468"/>
    </row>
    <row r="255" spans="2:15" x14ac:dyDescent="0.25">
      <c r="B255" s="163">
        <v>248</v>
      </c>
      <c r="C255" s="164">
        <f t="shared" ca="1" si="16"/>
        <v>3875822.855792671</v>
      </c>
      <c r="D255" s="164">
        <f t="shared" ca="1" si="15"/>
        <v>79783.523274854844</v>
      </c>
      <c r="E255" s="164">
        <f t="shared" ca="1" si="13"/>
        <v>10986.989021641355</v>
      </c>
      <c r="F255" s="165">
        <f t="shared" ca="1" si="14"/>
        <v>68796.534253213496</v>
      </c>
      <c r="N255" s="469"/>
      <c r="O255" s="468"/>
    </row>
    <row r="256" spans="2:15" x14ac:dyDescent="0.25">
      <c r="B256" s="163">
        <v>249</v>
      </c>
      <c r="C256" s="164">
        <f t="shared" ca="1" si="16"/>
        <v>3864641.3970653466</v>
      </c>
      <c r="D256" s="164">
        <f t="shared" ca="1" si="15"/>
        <v>79783.523274854859</v>
      </c>
      <c r="E256" s="164">
        <f t="shared" ca="1" si="13"/>
        <v>11181.458727324407</v>
      </c>
      <c r="F256" s="165">
        <f t="shared" ca="1" si="14"/>
        <v>68602.064547530448</v>
      </c>
      <c r="N256" s="469"/>
      <c r="O256" s="468"/>
    </row>
    <row r="257" spans="2:15" x14ac:dyDescent="0.25">
      <c r="B257" s="163">
        <v>250</v>
      </c>
      <c r="C257" s="164">
        <f t="shared" ca="1" si="16"/>
        <v>3853262.0265185484</v>
      </c>
      <c r="D257" s="164">
        <f t="shared" ca="1" si="15"/>
        <v>79783.523274854844</v>
      </c>
      <c r="E257" s="164">
        <f t="shared" ca="1" si="13"/>
        <v>11379.370546798049</v>
      </c>
      <c r="F257" s="165">
        <f t="shared" ca="1" si="14"/>
        <v>68404.152728056797</v>
      </c>
      <c r="N257" s="469"/>
      <c r="O257" s="468"/>
    </row>
    <row r="258" spans="2:15" x14ac:dyDescent="0.25">
      <c r="B258" s="163">
        <v>251</v>
      </c>
      <c r="C258" s="164">
        <f t="shared" ca="1" si="16"/>
        <v>3841681.2411130718</v>
      </c>
      <c r="D258" s="164">
        <f t="shared" ca="1" si="15"/>
        <v>79783.523274854859</v>
      </c>
      <c r="E258" s="164">
        <f t="shared" ca="1" si="13"/>
        <v>11580.785405476376</v>
      </c>
      <c r="F258" s="165">
        <f t="shared" ca="1" si="14"/>
        <v>68202.737869378485</v>
      </c>
      <c r="N258" s="469"/>
      <c r="O258" s="468"/>
    </row>
    <row r="259" spans="2:15" x14ac:dyDescent="0.25">
      <c r="B259" s="163">
        <v>252</v>
      </c>
      <c r="C259" s="164">
        <f t="shared" ca="1" si="16"/>
        <v>3829895.4758059187</v>
      </c>
      <c r="D259" s="164">
        <f t="shared" ca="1" si="15"/>
        <v>79783.523274854859</v>
      </c>
      <c r="E259" s="164">
        <f t="shared" ca="1" si="13"/>
        <v>11785.765307153308</v>
      </c>
      <c r="F259" s="165">
        <f t="shared" ca="1" si="14"/>
        <v>67997.757967701546</v>
      </c>
      <c r="N259" s="469"/>
      <c r="O259" s="468"/>
    </row>
    <row r="260" spans="2:15" x14ac:dyDescent="0.25">
      <c r="B260" s="163">
        <v>253</v>
      </c>
      <c r="C260" s="164">
        <f t="shared" ca="1" si="16"/>
        <v>3817901.1024528285</v>
      </c>
      <c r="D260" s="164">
        <f t="shared" ca="1" si="15"/>
        <v>79783.523274854859</v>
      </c>
      <c r="E260" s="164">
        <f t="shared" ca="1" si="13"/>
        <v>11994.373353089921</v>
      </c>
      <c r="F260" s="165">
        <f t="shared" ca="1" si="14"/>
        <v>67789.14992176494</v>
      </c>
      <c r="N260" s="469"/>
      <c r="O260" s="468"/>
    </row>
    <row r="261" spans="2:15" x14ac:dyDescent="0.25">
      <c r="B261" s="163">
        <v>254</v>
      </c>
      <c r="C261" s="164">
        <f t="shared" ca="1" si="16"/>
        <v>3805694.428691389</v>
      </c>
      <c r="D261" s="164">
        <f t="shared" ca="1" si="15"/>
        <v>79783.523274854859</v>
      </c>
      <c r="E261" s="164">
        <f t="shared" ca="1" si="13"/>
        <v>12206.673761439613</v>
      </c>
      <c r="F261" s="165">
        <f t="shared" ca="1" si="14"/>
        <v>67576.849513415247</v>
      </c>
      <c r="N261" s="469"/>
      <c r="O261" s="468"/>
    </row>
    <row r="262" spans="2:15" x14ac:dyDescent="0.25">
      <c r="B262" s="163">
        <v>255</v>
      </c>
      <c r="C262" s="164">
        <f t="shared" ca="1" si="16"/>
        <v>3793271.6968043721</v>
      </c>
      <c r="D262" s="164">
        <f t="shared" ca="1" si="15"/>
        <v>79783.523274854859</v>
      </c>
      <c r="E262" s="164">
        <f t="shared" ca="1" si="13"/>
        <v>12422.731887017095</v>
      </c>
      <c r="F262" s="165">
        <f t="shared" ca="1" si="14"/>
        <v>67360.791387837759</v>
      </c>
      <c r="N262" s="469"/>
      <c r="O262" s="468"/>
    </row>
    <row r="263" spans="2:15" x14ac:dyDescent="0.25">
      <c r="B263" s="163">
        <v>256</v>
      </c>
      <c r="C263" s="164">
        <f t="shared" ca="1" si="16"/>
        <v>3780629.0825629546</v>
      </c>
      <c r="D263" s="164">
        <f t="shared" ca="1" si="15"/>
        <v>79783.523274854859</v>
      </c>
      <c r="E263" s="164">
        <f t="shared" ca="1" si="13"/>
        <v>12642.614241417297</v>
      </c>
      <c r="F263" s="165">
        <f t="shared" ca="1" si="14"/>
        <v>67140.909033437565</v>
      </c>
      <c r="N263" s="469"/>
      <c r="O263" s="468"/>
    </row>
    <row r="264" spans="2:15" x14ac:dyDescent="0.25">
      <c r="B264" s="163">
        <v>257</v>
      </c>
      <c r="C264" s="164">
        <f t="shared" ca="1" si="16"/>
        <v>3767762.6940494641</v>
      </c>
      <c r="D264" s="164">
        <f t="shared" ca="1" si="15"/>
        <v>79783.523274854859</v>
      </c>
      <c r="E264" s="164">
        <f t="shared" ref="E264:E327" ca="1" si="17">-IFERROR(IF(OR(B264&lt;=$J$35,$J$35=0),PPMT($J$40/12,B264,$J$13*12,$J$14),PPMT(($O$5+$J$40)/12,B264-$J$35,$J$13*12-$J$35,$J$14+CUMPRINC($J$40/12,$J$13*12,$J$14,1,$J$35,0))),0)</f>
        <v>12866.388513490379</v>
      </c>
      <c r="F264" s="165">
        <f t="shared" ref="F264:F327" ca="1" si="18">-IF(AND($O$8,B264&lt;=$J$25,$J$24),IF($H$25="Без процентов",0,0.5),1)*IFERROR(IF(OR(B264&lt;=$J$35,$J$35=0),IPMT($J$40/12,B264,$J$13*12,$J$14),IPMT(($O$5+$J$40)/12,B264-$J$35,$J$13*12-$J$35,$J$14+CUMPRINC($J$40/12,$J$13*12,$J$14,1,$J$35,0),0,0)),0)</f>
        <v>66917.134761364476</v>
      </c>
      <c r="N264" s="469"/>
      <c r="O264" s="468"/>
    </row>
    <row r="265" spans="2:15" x14ac:dyDescent="0.25">
      <c r="B265" s="163">
        <v>258</v>
      </c>
      <c r="C265" s="164">
        <f t="shared" ca="1" si="16"/>
        <v>3754668.5704592848</v>
      </c>
      <c r="D265" s="164">
        <f t="shared" ref="D265:D328" ca="1" si="19">E265+F265</f>
        <v>79783.523274854859</v>
      </c>
      <c r="E265" s="164">
        <f t="shared" ca="1" si="17"/>
        <v>13094.123590179161</v>
      </c>
      <c r="F265" s="165">
        <f t="shared" ca="1" si="18"/>
        <v>66689.399684675693</v>
      </c>
      <c r="N265" s="469"/>
      <c r="O265" s="468"/>
    </row>
    <row r="266" spans="2:15" x14ac:dyDescent="0.25">
      <c r="B266" s="163">
        <v>259</v>
      </c>
      <c r="C266" s="164">
        <f t="shared" ca="1" si="16"/>
        <v>3741342.6808815594</v>
      </c>
      <c r="D266" s="164">
        <f t="shared" ca="1" si="19"/>
        <v>79783.523274854859</v>
      </c>
      <c r="E266" s="164">
        <f t="shared" ca="1" si="17"/>
        <v>13325.889577725331</v>
      </c>
      <c r="F266" s="165">
        <f t="shared" ca="1" si="18"/>
        <v>66457.633697129524</v>
      </c>
      <c r="N266" s="469"/>
      <c r="O266" s="468"/>
    </row>
    <row r="267" spans="2:15" x14ac:dyDescent="0.25">
      <c r="B267" s="163">
        <v>260</v>
      </c>
      <c r="C267" s="164">
        <f t="shared" ca="1" si="16"/>
        <v>3727780.9230583082</v>
      </c>
      <c r="D267" s="164">
        <f t="shared" ca="1" si="19"/>
        <v>79783.523274854859</v>
      </c>
      <c r="E267" s="164">
        <f t="shared" ca="1" si="17"/>
        <v>13561.757823251071</v>
      </c>
      <c r="F267" s="165">
        <f t="shared" ca="1" si="18"/>
        <v>66221.765451603787</v>
      </c>
      <c r="N267" s="469"/>
      <c r="O267" s="468"/>
    </row>
    <row r="268" spans="2:15" x14ac:dyDescent="0.25">
      <c r="B268" s="163">
        <v>261</v>
      </c>
      <c r="C268" s="164">
        <f t="shared" ca="1" si="16"/>
        <v>3713979.1221215855</v>
      </c>
      <c r="D268" s="164">
        <f t="shared" ca="1" si="19"/>
        <v>79783.523274854859</v>
      </c>
      <c r="E268" s="164">
        <f t="shared" ca="1" si="17"/>
        <v>13801.800936722613</v>
      </c>
      <c r="F268" s="165">
        <f t="shared" ca="1" si="18"/>
        <v>65981.72233813224</v>
      </c>
      <c r="N268" s="469"/>
      <c r="O268" s="468"/>
    </row>
    <row r="269" spans="2:15" x14ac:dyDescent="0.25">
      <c r="B269" s="163">
        <v>262</v>
      </c>
      <c r="C269" s="164">
        <f t="shared" ca="1" si="16"/>
        <v>3699933.0293082828</v>
      </c>
      <c r="D269" s="164">
        <f t="shared" ca="1" si="19"/>
        <v>79783.523274854859</v>
      </c>
      <c r="E269" s="164">
        <f t="shared" ca="1" si="17"/>
        <v>14046.092813302605</v>
      </c>
      <c r="F269" s="165">
        <f t="shared" ca="1" si="18"/>
        <v>65737.430461552256</v>
      </c>
      <c r="N269" s="469"/>
      <c r="O269" s="468"/>
    </row>
    <row r="270" spans="2:15" x14ac:dyDescent="0.25">
      <c r="B270" s="163">
        <v>263</v>
      </c>
      <c r="C270" s="164">
        <f t="shared" ca="1" si="16"/>
        <v>3685638.3206521845</v>
      </c>
      <c r="D270" s="164">
        <f t="shared" ca="1" si="19"/>
        <v>79783.523274854859</v>
      </c>
      <c r="E270" s="164">
        <f t="shared" ca="1" si="17"/>
        <v>14294.708656098061</v>
      </c>
      <c r="F270" s="165">
        <f t="shared" ca="1" si="18"/>
        <v>65488.814618756798</v>
      </c>
      <c r="N270" s="469"/>
      <c r="O270" s="468"/>
    </row>
    <row r="271" spans="2:15" x14ac:dyDescent="0.25">
      <c r="B271" s="163">
        <v>264</v>
      </c>
      <c r="C271" s="164">
        <f t="shared" ca="1" si="16"/>
        <v>3671090.5956528736</v>
      </c>
      <c r="D271" s="164">
        <f t="shared" ca="1" si="19"/>
        <v>79783.523274854844</v>
      </c>
      <c r="E271" s="164">
        <f t="shared" ca="1" si="17"/>
        <v>14547.724999310994</v>
      </c>
      <c r="F271" s="165">
        <f t="shared" ca="1" si="18"/>
        <v>65235.798275543857</v>
      </c>
      <c r="N271" s="469"/>
      <c r="O271" s="468"/>
    </row>
    <row r="272" spans="2:15" x14ac:dyDescent="0.25">
      <c r="B272" s="163">
        <v>265</v>
      </c>
      <c r="C272" s="164">
        <f t="shared" ca="1" si="16"/>
        <v>3656285.3759210748</v>
      </c>
      <c r="D272" s="164">
        <f t="shared" ca="1" si="19"/>
        <v>79783.523274854859</v>
      </c>
      <c r="E272" s="164">
        <f t="shared" ca="1" si="17"/>
        <v>14805.219731798803</v>
      </c>
      <c r="F272" s="165">
        <f t="shared" ca="1" si="18"/>
        <v>64978.303543056056</v>
      </c>
      <c r="N272" s="469"/>
      <c r="O272" s="468"/>
    </row>
    <row r="273" spans="2:15" x14ac:dyDescent="0.25">
      <c r="B273" s="163">
        <v>266</v>
      </c>
      <c r="C273" s="164">
        <f t="shared" ca="1" si="16"/>
        <v>3641218.103800023</v>
      </c>
      <c r="D273" s="164">
        <f t="shared" ca="1" si="19"/>
        <v>79783.523274854859</v>
      </c>
      <c r="E273" s="164">
        <f t="shared" ca="1" si="17"/>
        <v>15067.272121051641</v>
      </c>
      <c r="F273" s="165">
        <f t="shared" ca="1" si="18"/>
        <v>64716.251153803212</v>
      </c>
      <c r="N273" s="469"/>
      <c r="O273" s="468"/>
    </row>
    <row r="274" spans="2:15" x14ac:dyDescent="0.25">
      <c r="B274" s="163">
        <v>267</v>
      </c>
      <c r="C274" s="164">
        <f t="shared" ca="1" si="16"/>
        <v>3625884.1409624289</v>
      </c>
      <c r="D274" s="164">
        <f t="shared" ca="1" si="19"/>
        <v>79783.523274854859</v>
      </c>
      <c r="E274" s="164">
        <f t="shared" ca="1" si="17"/>
        <v>15333.962837594256</v>
      </c>
      <c r="F274" s="165">
        <f t="shared" ca="1" si="18"/>
        <v>64449.560437260603</v>
      </c>
      <c r="N274" s="469"/>
      <c r="O274" s="468"/>
    </row>
    <row r="275" spans="2:15" x14ac:dyDescent="0.25">
      <c r="B275" s="163">
        <v>268</v>
      </c>
      <c r="C275" s="164">
        <f t="shared" ca="1" si="16"/>
        <v>3610278.7669826094</v>
      </c>
      <c r="D275" s="164">
        <f t="shared" ca="1" si="19"/>
        <v>79783.523274854859</v>
      </c>
      <c r="E275" s="164">
        <f t="shared" ca="1" si="17"/>
        <v>15605.373979819673</v>
      </c>
      <c r="F275" s="165">
        <f t="shared" ca="1" si="18"/>
        <v>64178.149295035182</v>
      </c>
      <c r="N275" s="469"/>
      <c r="O275" s="468"/>
    </row>
    <row r="276" spans="2:15" x14ac:dyDescent="0.25">
      <c r="B276" s="163">
        <v>269</v>
      </c>
      <c r="C276" s="164">
        <f t="shared" ca="1" si="16"/>
        <v>3594397.177883347</v>
      </c>
      <c r="D276" s="164">
        <f t="shared" ca="1" si="19"/>
        <v>79783.523274854844</v>
      </c>
      <c r="E276" s="164">
        <f t="shared" ca="1" si="17"/>
        <v>15881.589099262481</v>
      </c>
      <c r="F276" s="165">
        <f t="shared" ca="1" si="18"/>
        <v>63901.934175592367</v>
      </c>
      <c r="N276" s="469"/>
      <c r="O276" s="468"/>
    </row>
    <row r="277" spans="2:15" x14ac:dyDescent="0.25">
      <c r="B277" s="163">
        <v>270</v>
      </c>
      <c r="C277" s="164">
        <f t="shared" ref="C277:C340" ca="1" si="20">C276-E277</f>
        <v>3578234.4846570278</v>
      </c>
      <c r="D277" s="164">
        <f t="shared" ca="1" si="19"/>
        <v>79783.523274854859</v>
      </c>
      <c r="E277" s="164">
        <f t="shared" ca="1" si="17"/>
        <v>16162.693226319427</v>
      </c>
      <c r="F277" s="165">
        <f t="shared" ca="1" si="18"/>
        <v>63620.830048535427</v>
      </c>
      <c r="N277" s="469"/>
      <c r="O277" s="468"/>
    </row>
    <row r="278" spans="2:15" x14ac:dyDescent="0.25">
      <c r="B278" s="163">
        <v>271</v>
      </c>
      <c r="C278" s="164">
        <f t="shared" ca="1" si="20"/>
        <v>3561785.7117606024</v>
      </c>
      <c r="D278" s="164">
        <f t="shared" ca="1" si="19"/>
        <v>79783.523274854859</v>
      </c>
      <c r="E278" s="164">
        <f t="shared" ca="1" si="17"/>
        <v>16448.772896425282</v>
      </c>
      <c r="F278" s="165">
        <f t="shared" ca="1" si="18"/>
        <v>63334.750378429577</v>
      </c>
      <c r="N278" s="469"/>
      <c r="O278" s="468"/>
    </row>
    <row r="279" spans="2:15" x14ac:dyDescent="0.25">
      <c r="B279" s="163">
        <v>272</v>
      </c>
      <c r="C279" s="164">
        <f t="shared" ca="1" si="20"/>
        <v>3545045.7955839103</v>
      </c>
      <c r="D279" s="164">
        <f t="shared" ca="1" si="19"/>
        <v>79783.523274854844</v>
      </c>
      <c r="E279" s="164">
        <f t="shared" ca="1" si="17"/>
        <v>16739.916176692008</v>
      </c>
      <c r="F279" s="165">
        <f t="shared" ca="1" si="18"/>
        <v>63043.607098162836</v>
      </c>
      <c r="N279" s="469"/>
      <c r="O279" s="468"/>
    </row>
    <row r="280" spans="2:15" x14ac:dyDescent="0.25">
      <c r="B280" s="163">
        <v>273</v>
      </c>
      <c r="C280" s="164">
        <f t="shared" ca="1" si="20"/>
        <v>3528009.582890891</v>
      </c>
      <c r="D280" s="164">
        <f t="shared" ca="1" si="19"/>
        <v>79783.523274854859</v>
      </c>
      <c r="E280" s="164">
        <f t="shared" ca="1" si="17"/>
        <v>17036.212693019461</v>
      </c>
      <c r="F280" s="165">
        <f t="shared" ca="1" si="18"/>
        <v>62747.310581835394</v>
      </c>
      <c r="N280" s="469"/>
      <c r="O280" s="468"/>
    </row>
    <row r="281" spans="2:15" x14ac:dyDescent="0.25">
      <c r="B281" s="163">
        <v>274</v>
      </c>
      <c r="C281" s="164">
        <f t="shared" ca="1" si="20"/>
        <v>3510671.8292332049</v>
      </c>
      <c r="D281" s="164">
        <f t="shared" ca="1" si="19"/>
        <v>79783.523274854844</v>
      </c>
      <c r="E281" s="164">
        <f t="shared" ca="1" si="17"/>
        <v>17337.753657685898</v>
      </c>
      <c r="F281" s="165">
        <f t="shared" ca="1" si="18"/>
        <v>62445.769617168953</v>
      </c>
      <c r="N281" s="469"/>
      <c r="O281" s="468"/>
    </row>
    <row r="282" spans="2:15" x14ac:dyDescent="0.25">
      <c r="B282" s="163">
        <v>275</v>
      </c>
      <c r="C282" s="164">
        <f t="shared" ca="1" si="20"/>
        <v>3493027.1973357778</v>
      </c>
      <c r="D282" s="164">
        <f t="shared" ca="1" si="19"/>
        <v>79783.523274854859</v>
      </c>
      <c r="E282" s="164">
        <f t="shared" ca="1" si="17"/>
        <v>17644.631897426942</v>
      </c>
      <c r="F282" s="165">
        <f t="shared" ca="1" si="18"/>
        <v>62138.891377427914</v>
      </c>
      <c r="N282" s="469"/>
      <c r="O282" s="468"/>
    </row>
    <row r="283" spans="2:15" x14ac:dyDescent="0.25">
      <c r="B283" s="163">
        <v>276</v>
      </c>
      <c r="C283" s="164">
        <f t="shared" ca="1" si="20"/>
        <v>3475070.2554537663</v>
      </c>
      <c r="D283" s="164">
        <f t="shared" ca="1" si="19"/>
        <v>79783.523274854844</v>
      </c>
      <c r="E283" s="164">
        <f t="shared" ca="1" si="17"/>
        <v>17956.941882011393</v>
      </c>
      <c r="F283" s="165">
        <f t="shared" ca="1" si="18"/>
        <v>61826.581392843458</v>
      </c>
      <c r="N283" s="469"/>
      <c r="O283" s="468"/>
    </row>
    <row r="284" spans="2:15" x14ac:dyDescent="0.25">
      <c r="B284" s="163">
        <v>277</v>
      </c>
      <c r="C284" s="164">
        <f t="shared" ca="1" si="20"/>
        <v>3456795.4757004431</v>
      </c>
      <c r="D284" s="164">
        <f t="shared" ca="1" si="19"/>
        <v>79783.523274854844</v>
      </c>
      <c r="E284" s="164">
        <f t="shared" ca="1" si="17"/>
        <v>18274.779753322997</v>
      </c>
      <c r="F284" s="165">
        <f t="shared" ca="1" si="18"/>
        <v>61508.743521531855</v>
      </c>
      <c r="N284" s="469"/>
      <c r="O284" s="468"/>
    </row>
    <row r="285" spans="2:15" x14ac:dyDescent="0.25">
      <c r="B285" s="163">
        <v>278</v>
      </c>
      <c r="C285" s="164">
        <f t="shared" ca="1" si="20"/>
        <v>3438197.2323454865</v>
      </c>
      <c r="D285" s="164">
        <f t="shared" ca="1" si="19"/>
        <v>79783.523274854859</v>
      </c>
      <c r="E285" s="164">
        <f t="shared" ca="1" si="17"/>
        <v>18598.243354956816</v>
      </c>
      <c r="F285" s="165">
        <f t="shared" ca="1" si="18"/>
        <v>61185.279919898043</v>
      </c>
      <c r="N285" s="469"/>
      <c r="O285" s="468"/>
    </row>
    <row r="286" spans="2:15" x14ac:dyDescent="0.25">
      <c r="B286" s="163">
        <v>279</v>
      </c>
      <c r="C286" s="164">
        <f t="shared" ca="1" si="20"/>
        <v>3419269.8000831469</v>
      </c>
      <c r="D286" s="164">
        <f t="shared" ca="1" si="19"/>
        <v>79783.523274854859</v>
      </c>
      <c r="E286" s="164">
        <f t="shared" ca="1" si="17"/>
        <v>18927.432262339553</v>
      </c>
      <c r="F286" s="165">
        <f t="shared" ca="1" si="18"/>
        <v>60856.091012515302</v>
      </c>
      <c r="N286" s="469"/>
      <c r="O286" s="468"/>
    </row>
    <row r="287" spans="2:15" x14ac:dyDescent="0.25">
      <c r="B287" s="163">
        <v>280</v>
      </c>
      <c r="C287" s="164">
        <f t="shared" ca="1" si="20"/>
        <v>3400007.3522697641</v>
      </c>
      <c r="D287" s="164">
        <f t="shared" ca="1" si="19"/>
        <v>79783.523274854859</v>
      </c>
      <c r="E287" s="164">
        <f t="shared" ca="1" si="17"/>
        <v>19262.447813382965</v>
      </c>
      <c r="F287" s="165">
        <f t="shared" ca="1" si="18"/>
        <v>60521.07546147189</v>
      </c>
      <c r="N287" s="469"/>
      <c r="O287" s="468"/>
    </row>
    <row r="288" spans="2:15" x14ac:dyDescent="0.25">
      <c r="B288" s="163">
        <v>281</v>
      </c>
      <c r="C288" s="164">
        <f t="shared" ca="1" si="20"/>
        <v>3380403.9591300841</v>
      </c>
      <c r="D288" s="164">
        <f t="shared" ca="1" si="19"/>
        <v>79783.523274854859</v>
      </c>
      <c r="E288" s="164">
        <f t="shared" ca="1" si="17"/>
        <v>19603.39313967984</v>
      </c>
      <c r="F288" s="165">
        <f t="shared" ca="1" si="18"/>
        <v>60180.130135175015</v>
      </c>
      <c r="N288" s="469"/>
      <c r="O288" s="468"/>
    </row>
    <row r="289" spans="2:15" x14ac:dyDescent="0.25">
      <c r="B289" s="163">
        <v>282</v>
      </c>
      <c r="C289" s="164">
        <f t="shared" ca="1" si="20"/>
        <v>3360453.585931832</v>
      </c>
      <c r="D289" s="164">
        <f t="shared" ca="1" si="19"/>
        <v>79783.523274854859</v>
      </c>
      <c r="E289" s="164">
        <f t="shared" ca="1" si="17"/>
        <v>19950.373198252175</v>
      </c>
      <c r="F289" s="165">
        <f t="shared" ca="1" si="18"/>
        <v>59833.15007660268</v>
      </c>
      <c r="N289" s="469"/>
      <c r="O289" s="468"/>
    </row>
    <row r="290" spans="2:15" x14ac:dyDescent="0.25">
      <c r="B290" s="163">
        <v>283</v>
      </c>
      <c r="C290" s="164">
        <f t="shared" ca="1" si="20"/>
        <v>3340150.0911279707</v>
      </c>
      <c r="D290" s="164">
        <f t="shared" ca="1" si="19"/>
        <v>79783.523274854859</v>
      </c>
      <c r="E290" s="164">
        <f t="shared" ca="1" si="17"/>
        <v>20303.494803861238</v>
      </c>
      <c r="F290" s="165">
        <f t="shared" ca="1" si="18"/>
        <v>59480.028470993617</v>
      </c>
      <c r="N290" s="469"/>
      <c r="O290" s="468"/>
    </row>
    <row r="291" spans="2:15" x14ac:dyDescent="0.25">
      <c r="B291" s="163">
        <v>284</v>
      </c>
      <c r="C291" s="164">
        <f t="shared" ca="1" si="20"/>
        <v>3319487.2244660812</v>
      </c>
      <c r="D291" s="164">
        <f t="shared" ca="1" si="19"/>
        <v>79783.523274854844</v>
      </c>
      <c r="E291" s="164">
        <f t="shared" ca="1" si="17"/>
        <v>20662.86666188958</v>
      </c>
      <c r="F291" s="165">
        <f t="shared" ca="1" si="18"/>
        <v>59120.656612965271</v>
      </c>
      <c r="N291" s="469"/>
      <c r="O291" s="468"/>
    </row>
    <row r="292" spans="2:15" x14ac:dyDescent="0.25">
      <c r="B292" s="163">
        <v>285</v>
      </c>
      <c r="C292" s="164">
        <f t="shared" ca="1" si="20"/>
        <v>3298458.6250642762</v>
      </c>
      <c r="D292" s="164">
        <f t="shared" ca="1" si="19"/>
        <v>79783.523274854844</v>
      </c>
      <c r="E292" s="164">
        <f t="shared" ca="1" si="17"/>
        <v>21028.599401805026</v>
      </c>
      <c r="F292" s="165">
        <f t="shared" ca="1" si="18"/>
        <v>58754.923873049825</v>
      </c>
      <c r="N292" s="469"/>
      <c r="O292" s="468"/>
    </row>
    <row r="293" spans="2:15" x14ac:dyDescent="0.25">
      <c r="B293" s="163">
        <v>286</v>
      </c>
      <c r="C293" s="164">
        <f t="shared" ca="1" si="20"/>
        <v>3277057.8194530592</v>
      </c>
      <c r="D293" s="164">
        <f t="shared" ca="1" si="19"/>
        <v>79783.523274854859</v>
      </c>
      <c r="E293" s="164">
        <f t="shared" ca="1" si="17"/>
        <v>21400.805611216976</v>
      </c>
      <c r="F293" s="165">
        <f t="shared" ca="1" si="18"/>
        <v>58382.717663637886</v>
      </c>
      <c r="N293" s="469"/>
      <c r="O293" s="468"/>
    </row>
    <row r="294" spans="2:15" x14ac:dyDescent="0.25">
      <c r="B294" s="163">
        <v>287</v>
      </c>
      <c r="C294" s="164">
        <f t="shared" ca="1" si="20"/>
        <v>3255278.2195825237</v>
      </c>
      <c r="D294" s="164">
        <f t="shared" ca="1" si="19"/>
        <v>79783.523274854859</v>
      </c>
      <c r="E294" s="164">
        <f t="shared" ca="1" si="17"/>
        <v>21779.59987053552</v>
      </c>
      <c r="F294" s="165">
        <f t="shared" ca="1" si="18"/>
        <v>58003.923404319343</v>
      </c>
      <c r="N294" s="469"/>
      <c r="O294" s="468"/>
    </row>
    <row r="295" spans="2:15" x14ac:dyDescent="0.25">
      <c r="B295" s="163">
        <v>288</v>
      </c>
      <c r="C295" s="164">
        <f t="shared" ca="1" si="20"/>
        <v>3233113.1207942795</v>
      </c>
      <c r="D295" s="164">
        <f t="shared" ca="1" si="19"/>
        <v>79783.523274854859</v>
      </c>
      <c r="E295" s="164">
        <f t="shared" ca="1" si="17"/>
        <v>22165.098788243999</v>
      </c>
      <c r="F295" s="165">
        <f t="shared" ca="1" si="18"/>
        <v>57618.424486610864</v>
      </c>
      <c r="N295" s="469"/>
      <c r="O295" s="468"/>
    </row>
    <row r="296" spans="2:15" x14ac:dyDescent="0.25">
      <c r="B296" s="163">
        <v>289</v>
      </c>
      <c r="C296" s="164">
        <f t="shared" ca="1" si="20"/>
        <v>3210555.6997574838</v>
      </c>
      <c r="D296" s="164">
        <f t="shared" ca="1" si="19"/>
        <v>79783.523274854859</v>
      </c>
      <c r="E296" s="164">
        <f t="shared" ca="1" si="17"/>
        <v>22557.421036795913</v>
      </c>
      <c r="F296" s="165">
        <f t="shared" ca="1" si="18"/>
        <v>57226.102238058949</v>
      </c>
      <c r="N296" s="469"/>
      <c r="O296" s="468"/>
    </row>
    <row r="297" spans="2:15" x14ac:dyDescent="0.25">
      <c r="B297" s="163">
        <v>290</v>
      </c>
      <c r="C297" s="164">
        <f t="shared" ca="1" si="20"/>
        <v>3187599.0123683368</v>
      </c>
      <c r="D297" s="164">
        <f t="shared" ca="1" si="19"/>
        <v>79783.523274854859</v>
      </c>
      <c r="E297" s="164">
        <f t="shared" ca="1" si="17"/>
        <v>22956.687389147202</v>
      </c>
      <c r="F297" s="165">
        <f t="shared" ca="1" si="18"/>
        <v>56826.835885707653</v>
      </c>
      <c r="N297" s="469"/>
      <c r="O297" s="468"/>
    </row>
    <row r="298" spans="2:15" x14ac:dyDescent="0.25">
      <c r="B298" s="163">
        <v>291</v>
      </c>
      <c r="C298" s="164">
        <f t="shared" ca="1" si="20"/>
        <v>3164235.9916124018</v>
      </c>
      <c r="D298" s="164">
        <f t="shared" ca="1" si="19"/>
        <v>79783.523274854873</v>
      </c>
      <c r="E298" s="164">
        <f t="shared" ca="1" si="17"/>
        <v>23363.020755935104</v>
      </c>
      <c r="F298" s="165">
        <f t="shared" ca="1" si="18"/>
        <v>56420.502518919762</v>
      </c>
      <c r="N298" s="469"/>
      <c r="O298" s="468"/>
    </row>
    <row r="299" spans="2:15" x14ac:dyDescent="0.25">
      <c r="B299" s="163">
        <v>292</v>
      </c>
      <c r="C299" s="164">
        <f t="shared" ca="1" si="20"/>
        <v>3140459.4453890868</v>
      </c>
      <c r="D299" s="164">
        <f t="shared" ca="1" si="19"/>
        <v>79783.523274854859</v>
      </c>
      <c r="E299" s="164">
        <f t="shared" ca="1" si="17"/>
        <v>23776.546223315156</v>
      </c>
      <c r="F299" s="165">
        <f t="shared" ca="1" si="18"/>
        <v>56006.977051539703</v>
      </c>
      <c r="N299" s="469"/>
      <c r="O299" s="468"/>
    </row>
    <row r="300" spans="2:15" x14ac:dyDescent="0.25">
      <c r="B300" s="163">
        <v>293</v>
      </c>
      <c r="C300" s="164">
        <f t="shared" ca="1" si="20"/>
        <v>3116262.054297619</v>
      </c>
      <c r="D300" s="164">
        <f t="shared" ca="1" si="19"/>
        <v>79783.523274854844</v>
      </c>
      <c r="E300" s="164">
        <f t="shared" ca="1" si="17"/>
        <v>24197.391091467834</v>
      </c>
      <c r="F300" s="165">
        <f t="shared" ca="1" si="18"/>
        <v>55586.132183387017</v>
      </c>
      <c r="N300" s="469"/>
      <c r="O300" s="468"/>
    </row>
    <row r="301" spans="2:15" x14ac:dyDescent="0.25">
      <c r="B301" s="163">
        <v>294</v>
      </c>
      <c r="C301" s="164">
        <f t="shared" ca="1" si="20"/>
        <v>3091636.3693838324</v>
      </c>
      <c r="D301" s="164">
        <f t="shared" ca="1" si="19"/>
        <v>79783.523274854859</v>
      </c>
      <c r="E301" s="164">
        <f t="shared" ca="1" si="17"/>
        <v>24625.684913786816</v>
      </c>
      <c r="F301" s="165">
        <f t="shared" ca="1" si="18"/>
        <v>55157.838361068039</v>
      </c>
      <c r="N301" s="469"/>
      <c r="O301" s="468"/>
    </row>
    <row r="302" spans="2:15" x14ac:dyDescent="0.25">
      <c r="B302" s="163">
        <v>295</v>
      </c>
      <c r="C302" s="164">
        <f t="shared" ca="1" si="20"/>
        <v>3066574.8098470718</v>
      </c>
      <c r="D302" s="164">
        <f t="shared" ca="1" si="19"/>
        <v>79783.523274854873</v>
      </c>
      <c r="E302" s="164">
        <f t="shared" ca="1" si="17"/>
        <v>25061.559536760848</v>
      </c>
      <c r="F302" s="165">
        <f t="shared" ca="1" si="18"/>
        <v>54721.963738094018</v>
      </c>
      <c r="N302" s="469"/>
      <c r="O302" s="468"/>
    </row>
    <row r="303" spans="2:15" x14ac:dyDescent="0.25">
      <c r="B303" s="163">
        <v>296</v>
      </c>
      <c r="C303" s="164">
        <f t="shared" ca="1" si="20"/>
        <v>3041069.6607065103</v>
      </c>
      <c r="D303" s="164">
        <f t="shared" ca="1" si="19"/>
        <v>79783.523274854844</v>
      </c>
      <c r="E303" s="164">
        <f t="shared" ca="1" si="17"/>
        <v>25505.149140561509</v>
      </c>
      <c r="F303" s="165">
        <f t="shared" ca="1" si="18"/>
        <v>54278.374134293343</v>
      </c>
      <c r="N303" s="469"/>
      <c r="O303" s="468"/>
    </row>
    <row r="304" spans="2:15" x14ac:dyDescent="0.25">
      <c r="B304" s="163">
        <v>297</v>
      </c>
      <c r="C304" s="164">
        <f t="shared" ca="1" si="20"/>
        <v>3015113.0704261609</v>
      </c>
      <c r="D304" s="164">
        <f t="shared" ca="1" si="19"/>
        <v>79783.523274854844</v>
      </c>
      <c r="E304" s="164">
        <f t="shared" ca="1" si="17"/>
        <v>25956.590280349446</v>
      </c>
      <c r="F304" s="165">
        <f t="shared" ca="1" si="18"/>
        <v>53826.932994505405</v>
      </c>
      <c r="N304" s="469"/>
      <c r="O304" s="468"/>
    </row>
    <row r="305" spans="2:15" x14ac:dyDescent="0.25">
      <c r="B305" s="163">
        <v>298</v>
      </c>
      <c r="C305" s="164">
        <f t="shared" ca="1" si="20"/>
        <v>2988697.0484978491</v>
      </c>
      <c r="D305" s="164">
        <f t="shared" ca="1" si="19"/>
        <v>79783.523274854844</v>
      </c>
      <c r="E305" s="164">
        <f t="shared" ca="1" si="17"/>
        <v>26416.021928311631</v>
      </c>
      <c r="F305" s="165">
        <f t="shared" ca="1" si="18"/>
        <v>53367.50134654322</v>
      </c>
      <c r="N305" s="469"/>
      <c r="O305" s="468"/>
    </row>
    <row r="306" spans="2:15" x14ac:dyDescent="0.25">
      <c r="B306" s="163">
        <v>299</v>
      </c>
      <c r="C306" s="164">
        <f t="shared" ca="1" si="20"/>
        <v>2961813.4629814066</v>
      </c>
      <c r="D306" s="164">
        <f t="shared" ca="1" si="19"/>
        <v>79783.523274854859</v>
      </c>
      <c r="E306" s="164">
        <f t="shared" ca="1" si="17"/>
        <v>26883.585516442752</v>
      </c>
      <c r="F306" s="165">
        <f t="shared" ca="1" si="18"/>
        <v>52899.937758412103</v>
      </c>
      <c r="N306" s="469"/>
      <c r="O306" s="468"/>
    </row>
    <row r="307" spans="2:15" x14ac:dyDescent="0.25">
      <c r="B307" s="163">
        <v>300</v>
      </c>
      <c r="C307" s="164">
        <f t="shared" ca="1" si="20"/>
        <v>2934454.0380013227</v>
      </c>
      <c r="D307" s="164">
        <f t="shared" ca="1" si="19"/>
        <v>79783.523274854844</v>
      </c>
      <c r="E307" s="164">
        <f t="shared" ca="1" si="17"/>
        <v>27359.424980083786</v>
      </c>
      <c r="F307" s="165">
        <f t="shared" ca="1" si="18"/>
        <v>52424.098294771065</v>
      </c>
      <c r="N307" s="469"/>
      <c r="O307" s="468"/>
    </row>
    <row r="308" spans="2:15" x14ac:dyDescent="0.25">
      <c r="B308" s="163">
        <v>301</v>
      </c>
      <c r="C308" s="164">
        <f t="shared" ca="1" si="20"/>
        <v>2906610.3511990914</v>
      </c>
      <c r="D308" s="164">
        <f t="shared" ca="1" si="19"/>
        <v>79783.523274854844</v>
      </c>
      <c r="E308" s="164">
        <f t="shared" ca="1" si="17"/>
        <v>27843.68680223127</v>
      </c>
      <c r="F308" s="165">
        <f t="shared" ca="1" si="18"/>
        <v>51939.836472623574</v>
      </c>
      <c r="N308" s="469"/>
      <c r="O308" s="468"/>
    </row>
    <row r="309" spans="2:15" x14ac:dyDescent="0.25">
      <c r="B309" s="163">
        <v>302</v>
      </c>
      <c r="C309" s="164">
        <f t="shared" ca="1" si="20"/>
        <v>2878273.8311404604</v>
      </c>
      <c r="D309" s="164">
        <f t="shared" ca="1" si="19"/>
        <v>79783.523274854844</v>
      </c>
      <c r="E309" s="164">
        <f t="shared" ca="1" si="17"/>
        <v>28336.520058630762</v>
      </c>
      <c r="F309" s="165">
        <f t="shared" ca="1" si="18"/>
        <v>51447.003216224082</v>
      </c>
      <c r="N309" s="469"/>
      <c r="O309" s="468"/>
    </row>
    <row r="310" spans="2:15" x14ac:dyDescent="0.25">
      <c r="B310" s="163">
        <v>303</v>
      </c>
      <c r="C310" s="164">
        <f t="shared" ca="1" si="20"/>
        <v>2849435.7546767918</v>
      </c>
      <c r="D310" s="164">
        <f t="shared" ca="1" si="19"/>
        <v>79783.523274854859</v>
      </c>
      <c r="E310" s="164">
        <f t="shared" ca="1" si="17"/>
        <v>28838.076463668531</v>
      </c>
      <c r="F310" s="165">
        <f t="shared" ca="1" si="18"/>
        <v>50945.446811186324</v>
      </c>
      <c r="N310" s="469"/>
      <c r="O310" s="468"/>
    </row>
    <row r="311" spans="2:15" x14ac:dyDescent="0.25">
      <c r="B311" s="163">
        <v>304</v>
      </c>
      <c r="C311" s="164">
        <f t="shared" ca="1" si="20"/>
        <v>2820087.2442597165</v>
      </c>
      <c r="D311" s="164">
        <f t="shared" ca="1" si="19"/>
        <v>79783.523274854844</v>
      </c>
      <c r="E311" s="164">
        <f t="shared" ca="1" si="17"/>
        <v>29348.510417075464</v>
      </c>
      <c r="F311" s="165">
        <f t="shared" ca="1" si="18"/>
        <v>50435.012857779388</v>
      </c>
      <c r="N311" s="469"/>
      <c r="O311" s="468"/>
    </row>
    <row r="312" spans="2:15" x14ac:dyDescent="0.25">
      <c r="B312" s="163">
        <v>305</v>
      </c>
      <c r="C312" s="164">
        <f t="shared" ca="1" si="20"/>
        <v>2790219.2652082588</v>
      </c>
      <c r="D312" s="164">
        <f t="shared" ca="1" si="19"/>
        <v>79783.523274854844</v>
      </c>
      <c r="E312" s="164">
        <f t="shared" ca="1" si="17"/>
        <v>29867.979051457696</v>
      </c>
      <c r="F312" s="165">
        <f t="shared" ca="1" si="18"/>
        <v>49915.544223397155</v>
      </c>
      <c r="N312" s="469"/>
      <c r="O312" s="468"/>
    </row>
    <row r="313" spans="2:15" x14ac:dyDescent="0.25">
      <c r="B313" s="163">
        <v>306</v>
      </c>
      <c r="C313" s="164">
        <f t="shared" ca="1" si="20"/>
        <v>2759822.6229275903</v>
      </c>
      <c r="D313" s="164">
        <f t="shared" ca="1" si="19"/>
        <v>79783.523274854873</v>
      </c>
      <c r="E313" s="164">
        <f t="shared" ca="1" si="17"/>
        <v>30396.6422806685</v>
      </c>
      <c r="F313" s="165">
        <f t="shared" ca="1" si="18"/>
        <v>49386.880994186366</v>
      </c>
      <c r="N313" s="469"/>
      <c r="O313" s="468"/>
    </row>
    <row r="314" spans="2:15" x14ac:dyDescent="0.25">
      <c r="B314" s="163">
        <v>307</v>
      </c>
      <c r="C314" s="164">
        <f t="shared" ca="1" si="20"/>
        <v>2728887.9600785538</v>
      </c>
      <c r="D314" s="164">
        <f t="shared" ca="1" si="19"/>
        <v>79783.523274854859</v>
      </c>
      <c r="E314" s="164">
        <f t="shared" ca="1" si="17"/>
        <v>30934.662849036333</v>
      </c>
      <c r="F314" s="165">
        <f t="shared" ca="1" si="18"/>
        <v>48848.860425818522</v>
      </c>
      <c r="N314" s="469"/>
      <c r="O314" s="468"/>
    </row>
    <row r="315" spans="2:15" x14ac:dyDescent="0.25">
      <c r="B315" s="163">
        <v>308</v>
      </c>
      <c r="C315" s="164">
        <f t="shared" ca="1" si="20"/>
        <v>2697405.7536970894</v>
      </c>
      <c r="D315" s="164">
        <f t="shared" ca="1" si="19"/>
        <v>79783.523274854859</v>
      </c>
      <c r="E315" s="164">
        <f t="shared" ca="1" si="17"/>
        <v>31482.206381464275</v>
      </c>
      <c r="F315" s="165">
        <f t="shared" ca="1" si="18"/>
        <v>48301.316893390584</v>
      </c>
      <c r="N315" s="469"/>
      <c r="O315" s="468"/>
    </row>
    <row r="316" spans="2:15" x14ac:dyDescent="0.25">
      <c r="B316" s="163">
        <v>309</v>
      </c>
      <c r="C316" s="164">
        <f t="shared" ca="1" si="20"/>
        <v>2665366.3122626734</v>
      </c>
      <c r="D316" s="164">
        <f t="shared" ca="1" si="19"/>
        <v>79783.523274854844</v>
      </c>
      <c r="E316" s="164">
        <f t="shared" ca="1" si="17"/>
        <v>32039.441434416185</v>
      </c>
      <c r="F316" s="165">
        <f t="shared" ca="1" si="18"/>
        <v>47744.081840438666</v>
      </c>
      <c r="N316" s="469"/>
      <c r="O316" s="468"/>
    </row>
    <row r="317" spans="2:15" x14ac:dyDescent="0.25">
      <c r="B317" s="163">
        <v>310</v>
      </c>
      <c r="C317" s="164">
        <f t="shared" ca="1" si="20"/>
        <v>2632759.7727148682</v>
      </c>
      <c r="D317" s="164">
        <f t="shared" ca="1" si="19"/>
        <v>79783.523274854859</v>
      </c>
      <c r="E317" s="164">
        <f t="shared" ca="1" si="17"/>
        <v>32606.539547805358</v>
      </c>
      <c r="F317" s="165">
        <f t="shared" ca="1" si="18"/>
        <v>47176.983727049505</v>
      </c>
      <c r="N317" s="469"/>
      <c r="O317" s="468"/>
    </row>
    <row r="318" spans="2:15" x14ac:dyDescent="0.25">
      <c r="B318" s="163">
        <v>311</v>
      </c>
      <c r="C318" s="164">
        <f t="shared" ca="1" si="20"/>
        <v>2599576.0974170668</v>
      </c>
      <c r="D318" s="164">
        <f t="shared" ca="1" si="19"/>
        <v>79783.523274854844</v>
      </c>
      <c r="E318" s="164">
        <f t="shared" ca="1" si="17"/>
        <v>33183.675297801507</v>
      </c>
      <c r="F318" s="165">
        <f t="shared" ca="1" si="18"/>
        <v>46599.84797705333</v>
      </c>
      <c r="N318" s="469"/>
      <c r="O318" s="468"/>
    </row>
    <row r="319" spans="2:15" x14ac:dyDescent="0.25">
      <c r="B319" s="163">
        <v>312</v>
      </c>
      <c r="C319" s="164">
        <f t="shared" ca="1" si="20"/>
        <v>2565805.0710664941</v>
      </c>
      <c r="D319" s="164">
        <f t="shared" ca="1" si="19"/>
        <v>79783.523274854844</v>
      </c>
      <c r="E319" s="164">
        <f t="shared" ca="1" si="17"/>
        <v>33771.026350572596</v>
      </c>
      <c r="F319" s="165">
        <f t="shared" ca="1" si="18"/>
        <v>46012.496924282255</v>
      </c>
      <c r="N319" s="469"/>
      <c r="O319" s="468"/>
    </row>
    <row r="320" spans="2:15" x14ac:dyDescent="0.25">
      <c r="B320" s="163">
        <v>313</v>
      </c>
      <c r="C320" s="164">
        <f t="shared" ca="1" si="20"/>
        <v>2531436.2975495164</v>
      </c>
      <c r="D320" s="164">
        <f t="shared" ca="1" si="19"/>
        <v>79783.523274854859</v>
      </c>
      <c r="E320" s="164">
        <f t="shared" ca="1" si="17"/>
        <v>34368.773516977737</v>
      </c>
      <c r="F320" s="165">
        <f t="shared" ca="1" si="18"/>
        <v>45414.749757877122</v>
      </c>
      <c r="N320" s="469"/>
      <c r="O320" s="468"/>
    </row>
    <row r="321" spans="2:15" x14ac:dyDescent="0.25">
      <c r="B321" s="163">
        <v>314</v>
      </c>
      <c r="C321" s="164">
        <f t="shared" ca="1" si="20"/>
        <v>2496459.1967412881</v>
      </c>
      <c r="D321" s="164">
        <f t="shared" ca="1" si="19"/>
        <v>79783.523274854859</v>
      </c>
      <c r="E321" s="164">
        <f t="shared" ca="1" si="17"/>
        <v>34977.100808228242</v>
      </c>
      <c r="F321" s="165">
        <f t="shared" ca="1" si="18"/>
        <v>44806.422466626616</v>
      </c>
      <c r="N321" s="469"/>
      <c r="O321" s="468"/>
    </row>
    <row r="322" spans="2:15" x14ac:dyDescent="0.25">
      <c r="B322" s="163">
        <v>315</v>
      </c>
      <c r="C322" s="164">
        <f t="shared" ca="1" si="20"/>
        <v>2460863.0012487541</v>
      </c>
      <c r="D322" s="164">
        <f t="shared" ca="1" si="19"/>
        <v>79783.523274854859</v>
      </c>
      <c r="E322" s="164">
        <f t="shared" ca="1" si="17"/>
        <v>35596.19549253388</v>
      </c>
      <c r="F322" s="165">
        <f t="shared" ca="1" si="18"/>
        <v>44187.327782320979</v>
      </c>
      <c r="N322" s="469"/>
      <c r="O322" s="468"/>
    </row>
    <row r="323" spans="2:15" x14ac:dyDescent="0.25">
      <c r="B323" s="163">
        <v>316</v>
      </c>
      <c r="C323" s="164">
        <f t="shared" ca="1" si="20"/>
        <v>2424636.7530960022</v>
      </c>
      <c r="D323" s="164">
        <f t="shared" ca="1" si="19"/>
        <v>79783.523274854844</v>
      </c>
      <c r="E323" s="164">
        <f t="shared" ca="1" si="17"/>
        <v>36226.24815275173</v>
      </c>
      <c r="F323" s="165">
        <f t="shared" ca="1" si="18"/>
        <v>43557.275122103121</v>
      </c>
      <c r="N323" s="469"/>
      <c r="O323" s="468"/>
    </row>
    <row r="324" spans="2:15" x14ac:dyDescent="0.25">
      <c r="B324" s="163">
        <v>317</v>
      </c>
      <c r="C324" s="164">
        <f t="shared" ca="1" si="20"/>
        <v>2387769.3003509468</v>
      </c>
      <c r="D324" s="164">
        <f t="shared" ca="1" si="19"/>
        <v>79783.523274854859</v>
      </c>
      <c r="E324" s="164">
        <f t="shared" ca="1" si="17"/>
        <v>36867.452745055438</v>
      </c>
      <c r="F324" s="165">
        <f t="shared" ca="1" si="18"/>
        <v>42916.070529799421</v>
      </c>
      <c r="N324" s="469"/>
      <c r="O324" s="468"/>
    </row>
    <row r="325" spans="2:15" x14ac:dyDescent="0.25">
      <c r="B325" s="163">
        <v>318</v>
      </c>
      <c r="C325" s="164">
        <f t="shared" ca="1" si="20"/>
        <v>2350249.2936923038</v>
      </c>
      <c r="D325" s="164">
        <f t="shared" ca="1" si="19"/>
        <v>79783.523274854859</v>
      </c>
      <c r="E325" s="164">
        <f t="shared" ca="1" si="17"/>
        <v>37520.006658642917</v>
      </c>
      <c r="F325" s="165">
        <f t="shared" ca="1" si="18"/>
        <v>42263.516616211942</v>
      </c>
      <c r="N325" s="469"/>
      <c r="O325" s="468"/>
    </row>
    <row r="326" spans="2:15" x14ac:dyDescent="0.25">
      <c r="B326" s="163">
        <v>319</v>
      </c>
      <c r="C326" s="164">
        <f t="shared" ca="1" si="20"/>
        <v>2312065.182915803</v>
      </c>
      <c r="D326" s="164">
        <f t="shared" ca="1" si="19"/>
        <v>79783.523274854844</v>
      </c>
      <c r="E326" s="164">
        <f t="shared" ca="1" si="17"/>
        <v>38184.110776500893</v>
      </c>
      <c r="F326" s="165">
        <f t="shared" ca="1" si="18"/>
        <v>41599.412498353959</v>
      </c>
      <c r="N326" s="469"/>
      <c r="O326" s="468"/>
    </row>
    <row r="327" spans="2:15" x14ac:dyDescent="0.25">
      <c r="B327" s="163">
        <v>320</v>
      </c>
      <c r="C327" s="164">
        <f t="shared" ca="1" si="20"/>
        <v>2273205.2133785579</v>
      </c>
      <c r="D327" s="164">
        <f t="shared" ca="1" si="19"/>
        <v>79783.523274854844</v>
      </c>
      <c r="E327" s="164">
        <f t="shared" ca="1" si="17"/>
        <v>38859.969537244957</v>
      </c>
      <c r="F327" s="165">
        <f t="shared" ca="1" si="18"/>
        <v>40923.553737609887</v>
      </c>
      <c r="N327" s="469"/>
      <c r="O327" s="468"/>
    </row>
    <row r="328" spans="2:15" x14ac:dyDescent="0.25">
      <c r="B328" s="163">
        <v>321</v>
      </c>
      <c r="C328" s="164">
        <f t="shared" ca="1" si="20"/>
        <v>2233657.4223805037</v>
      </c>
      <c r="D328" s="164">
        <f t="shared" ca="1" si="19"/>
        <v>79783.523274854844</v>
      </c>
      <c r="E328" s="164">
        <f t="shared" ref="E328:E367" ca="1" si="21">-IFERROR(IF(OR(B328&lt;=$J$35,$J$35=0),PPMT($J$40/12,B328,$J$13*12,$J$14),PPMT(($O$5+$J$40)/12,B328-$J$35,$J$13*12-$J$35,$J$14+CUMPRINC($J$40/12,$J$13*12,$J$14,1,$J$35,0))),0)</f>
        <v>39547.790998054195</v>
      </c>
      <c r="F328" s="165">
        <f t="shared" ref="F328:F367" ca="1" si="22">-IF(AND($O$8,B328&lt;=$J$25,$J$24),IF($H$25="Без процентов",0,0.5),1)*IFERROR(IF(OR(B328&lt;=$J$35,$J$35=0),IPMT($J$40/12,B328,$J$13*12,$J$14),IPMT(($O$5+$J$40)/12,B328-$J$35,$J$13*12-$J$35,$J$14+CUMPRINC($J$40/12,$J$13*12,$J$14,1,$J$35,0),0,0)),0)</f>
        <v>40235.732276800656</v>
      </c>
      <c r="N328" s="469"/>
      <c r="O328" s="468"/>
    </row>
    <row r="329" spans="2:15" x14ac:dyDescent="0.25">
      <c r="B329" s="163">
        <v>322</v>
      </c>
      <c r="C329" s="164">
        <f t="shared" ca="1" si="20"/>
        <v>2193409.6354817841</v>
      </c>
      <c r="D329" s="164">
        <f t="shared" ref="D329:D367" ca="1" si="23">E329+F329</f>
        <v>79783.523274854844</v>
      </c>
      <c r="E329" s="164">
        <f t="shared" ca="1" si="21"/>
        <v>40247.786898719758</v>
      </c>
      <c r="F329" s="165">
        <f t="shared" ca="1" si="22"/>
        <v>39535.736376135093</v>
      </c>
      <c r="N329" s="469"/>
      <c r="O329" s="468"/>
    </row>
    <row r="330" spans="2:15" x14ac:dyDescent="0.25">
      <c r="B330" s="163">
        <v>323</v>
      </c>
      <c r="C330" s="164">
        <f t="shared" ca="1" si="20"/>
        <v>2152449.4627549569</v>
      </c>
      <c r="D330" s="164">
        <f t="shared" ca="1" si="23"/>
        <v>79783.523274854844</v>
      </c>
      <c r="E330" s="164">
        <f t="shared" ca="1" si="21"/>
        <v>40960.172726827099</v>
      </c>
      <c r="F330" s="165">
        <f t="shared" ca="1" si="22"/>
        <v>38823.350548027753</v>
      </c>
      <c r="N330" s="469"/>
      <c r="O330" s="468"/>
    </row>
    <row r="331" spans="2:15" x14ac:dyDescent="0.25">
      <c r="B331" s="163">
        <v>324</v>
      </c>
      <c r="C331" s="164">
        <f t="shared" ca="1" si="20"/>
        <v>2110764.2949708649</v>
      </c>
      <c r="D331" s="164">
        <f t="shared" ca="1" si="23"/>
        <v>79783.523274854844</v>
      </c>
      <c r="E331" s="164">
        <f t="shared" ca="1" si="21"/>
        <v>41685.167784091936</v>
      </c>
      <c r="F331" s="165">
        <f t="shared" ca="1" si="22"/>
        <v>38098.355490762915</v>
      </c>
      <c r="N331" s="469"/>
      <c r="O331" s="468"/>
    </row>
    <row r="332" spans="2:15" x14ac:dyDescent="0.25">
      <c r="B332" s="163">
        <v>325</v>
      </c>
      <c r="C332" s="164">
        <f t="shared" ca="1" si="20"/>
        <v>2068341.2997169946</v>
      </c>
      <c r="D332" s="164">
        <f t="shared" ca="1" si="23"/>
        <v>79783.523274854844</v>
      </c>
      <c r="E332" s="164">
        <f t="shared" ca="1" si="21"/>
        <v>42422.995253870358</v>
      </c>
      <c r="F332" s="165">
        <f t="shared" ca="1" si="22"/>
        <v>37360.528020984493</v>
      </c>
      <c r="N332" s="469"/>
      <c r="O332" s="468"/>
    </row>
    <row r="333" spans="2:15" x14ac:dyDescent="0.25">
      <c r="B333" s="163">
        <v>326</v>
      </c>
      <c r="C333" s="164">
        <f t="shared" ca="1" si="20"/>
        <v>2025167.4174471307</v>
      </c>
      <c r="D333" s="164">
        <f t="shared" ca="1" si="23"/>
        <v>79783.523274854859</v>
      </c>
      <c r="E333" s="164">
        <f t="shared" ca="1" si="21"/>
        <v>43173.882269863869</v>
      </c>
      <c r="F333" s="165">
        <f t="shared" ca="1" si="22"/>
        <v>36609.64100499099</v>
      </c>
      <c r="N333" s="469"/>
      <c r="O333" s="468"/>
    </row>
    <row r="334" spans="2:15" x14ac:dyDescent="0.25">
      <c r="B334" s="163">
        <v>327</v>
      </c>
      <c r="C334" s="164">
        <f t="shared" ca="1" si="20"/>
        <v>1981229.3574610902</v>
      </c>
      <c r="D334" s="164">
        <f t="shared" ca="1" si="23"/>
        <v>79783.523274854873</v>
      </c>
      <c r="E334" s="164">
        <f t="shared" ca="1" si="21"/>
        <v>43938.059986040462</v>
      </c>
      <c r="F334" s="165">
        <f t="shared" ca="1" si="22"/>
        <v>35845.463288814404</v>
      </c>
      <c r="N334" s="469"/>
      <c r="O334" s="468"/>
    </row>
    <row r="335" spans="2:15" x14ac:dyDescent="0.25">
      <c r="B335" s="163">
        <v>328</v>
      </c>
      <c r="C335" s="164">
        <f t="shared" ca="1" si="20"/>
        <v>1936513.5938132969</v>
      </c>
      <c r="D335" s="164">
        <f t="shared" ca="1" si="23"/>
        <v>79783.523274854859</v>
      </c>
      <c r="E335" s="164">
        <f t="shared" ca="1" si="21"/>
        <v>44715.763647793377</v>
      </c>
      <c r="F335" s="165">
        <f t="shared" ca="1" si="22"/>
        <v>35067.759627061481</v>
      </c>
      <c r="N335" s="469"/>
      <c r="O335" s="468"/>
    </row>
    <row r="336" spans="2:15" x14ac:dyDescent="0.25">
      <c r="B336" s="163">
        <v>329</v>
      </c>
      <c r="C336" s="164">
        <f t="shared" ca="1" si="20"/>
        <v>1891006.3611489376</v>
      </c>
      <c r="D336" s="164">
        <f t="shared" ca="1" si="23"/>
        <v>79783.523274854859</v>
      </c>
      <c r="E336" s="164">
        <f t="shared" ca="1" si="21"/>
        <v>45507.232664359319</v>
      </c>
      <c r="F336" s="165">
        <f t="shared" ca="1" si="22"/>
        <v>34276.29061049554</v>
      </c>
      <c r="N336" s="469"/>
      <c r="O336" s="468"/>
    </row>
    <row r="337" spans="2:15" x14ac:dyDescent="0.25">
      <c r="B337" s="163">
        <v>330</v>
      </c>
      <c r="C337" s="164">
        <f t="shared" ca="1" si="20"/>
        <v>1844693.6504664191</v>
      </c>
      <c r="D337" s="164">
        <f t="shared" ca="1" si="23"/>
        <v>79783.523274854844</v>
      </c>
      <c r="E337" s="164">
        <f t="shared" ca="1" si="21"/>
        <v>46312.710682518475</v>
      </c>
      <c r="F337" s="165">
        <f t="shared" ca="1" si="22"/>
        <v>33470.812592336377</v>
      </c>
      <c r="N337" s="469"/>
      <c r="O337" s="468"/>
    </row>
    <row r="338" spans="2:15" x14ac:dyDescent="0.25">
      <c r="B338" s="163">
        <v>331</v>
      </c>
      <c r="C338" s="164">
        <f t="shared" ca="1" si="20"/>
        <v>1797561.20480482</v>
      </c>
      <c r="D338" s="164">
        <f t="shared" ca="1" si="23"/>
        <v>79783.523274854859</v>
      </c>
      <c r="E338" s="164">
        <f t="shared" ca="1" si="21"/>
        <v>47132.445661599057</v>
      </c>
      <c r="F338" s="165">
        <f t="shared" ca="1" si="22"/>
        <v>32651.077613255798</v>
      </c>
      <c r="N338" s="469"/>
      <c r="O338" s="468"/>
    </row>
    <row r="339" spans="2:15" x14ac:dyDescent="0.25">
      <c r="B339" s="163">
        <v>332</v>
      </c>
      <c r="C339" s="164">
        <f t="shared" ca="1" si="20"/>
        <v>1749594.5148550107</v>
      </c>
      <c r="D339" s="164">
        <f t="shared" ca="1" si="23"/>
        <v>79783.523274854844</v>
      </c>
      <c r="E339" s="164">
        <f t="shared" ca="1" si="21"/>
        <v>47966.689949809355</v>
      </c>
      <c r="F339" s="165">
        <f t="shared" ca="1" si="22"/>
        <v>31816.833325045493</v>
      </c>
      <c r="N339" s="469"/>
      <c r="O339" s="468"/>
    </row>
    <row r="340" spans="2:15" x14ac:dyDescent="0.25">
      <c r="B340" s="163">
        <v>333</v>
      </c>
      <c r="C340" s="164">
        <f t="shared" ca="1" si="20"/>
        <v>1700778.8144930897</v>
      </c>
      <c r="D340" s="164">
        <f t="shared" ca="1" si="23"/>
        <v>79783.523274854859</v>
      </c>
      <c r="E340" s="164">
        <f t="shared" ca="1" si="21"/>
        <v>48815.700361920986</v>
      </c>
      <c r="F340" s="165">
        <f t="shared" ca="1" si="22"/>
        <v>30967.822912933876</v>
      </c>
      <c r="N340" s="469"/>
      <c r="O340" s="468"/>
    </row>
    <row r="341" spans="2:15" x14ac:dyDescent="0.25">
      <c r="B341" s="163">
        <v>334</v>
      </c>
      <c r="C341" s="164">
        <f t="shared" ref="C341:C367" ca="1" si="24">C340-E341</f>
        <v>1651099.0762347628</v>
      </c>
      <c r="D341" s="164">
        <f t="shared" ca="1" si="23"/>
        <v>79783.523274854859</v>
      </c>
      <c r="E341" s="164">
        <f t="shared" ca="1" si="21"/>
        <v>49679.738258326986</v>
      </c>
      <c r="F341" s="165">
        <f t="shared" ca="1" si="22"/>
        <v>30103.785016527872</v>
      </c>
      <c r="N341" s="469"/>
      <c r="O341" s="468"/>
    </row>
    <row r="342" spans="2:15" x14ac:dyDescent="0.25">
      <c r="B342" s="163">
        <v>335</v>
      </c>
      <c r="C342" s="164">
        <f t="shared" ca="1" si="24"/>
        <v>1600540.0066092634</v>
      </c>
      <c r="D342" s="164">
        <f t="shared" ca="1" si="23"/>
        <v>79783.523274854844</v>
      </c>
      <c r="E342" s="164">
        <f t="shared" ca="1" si="21"/>
        <v>50559.069625499367</v>
      </c>
      <c r="F342" s="165">
        <f t="shared" ca="1" si="22"/>
        <v>29224.453649355481</v>
      </c>
      <c r="N342" s="469"/>
      <c r="O342" s="468"/>
    </row>
    <row r="343" spans="2:15" x14ac:dyDescent="0.25">
      <c r="B343" s="163">
        <v>336</v>
      </c>
      <c r="C343" s="164">
        <f t="shared" ca="1" si="24"/>
        <v>1549086.0414513927</v>
      </c>
      <c r="D343" s="164">
        <f t="shared" ca="1" si="23"/>
        <v>79783.523274854859</v>
      </c>
      <c r="E343" s="164">
        <f t="shared" ca="1" si="21"/>
        <v>51453.965157870713</v>
      </c>
      <c r="F343" s="165">
        <f t="shared" ca="1" si="22"/>
        <v>28329.558116984146</v>
      </c>
      <c r="N343" s="469"/>
      <c r="O343" s="468"/>
    </row>
    <row r="344" spans="2:15" x14ac:dyDescent="0.25">
      <c r="B344" s="163">
        <v>337</v>
      </c>
      <c r="C344" s="164">
        <f t="shared" ca="1" si="24"/>
        <v>1496721.3411102276</v>
      </c>
      <c r="D344" s="164">
        <f t="shared" ca="1" si="23"/>
        <v>79783.523274854844</v>
      </c>
      <c r="E344" s="164">
        <f t="shared" ca="1" si="21"/>
        <v>52364.700341165022</v>
      </c>
      <c r="F344" s="165">
        <f t="shared" ca="1" si="22"/>
        <v>27418.822933689829</v>
      </c>
      <c r="N344" s="469"/>
      <c r="O344" s="468"/>
    </row>
    <row r="345" spans="2:15" x14ac:dyDescent="0.25">
      <c r="B345" s="163">
        <v>338</v>
      </c>
      <c r="C345" s="164">
        <f t="shared" ca="1" si="24"/>
        <v>1443429.7855730241</v>
      </c>
      <c r="D345" s="164">
        <f t="shared" ca="1" si="23"/>
        <v>79783.523274854859</v>
      </c>
      <c r="E345" s="164">
        <f t="shared" ca="1" si="21"/>
        <v>53291.555537203647</v>
      </c>
      <c r="F345" s="165">
        <f t="shared" ca="1" si="22"/>
        <v>26491.967737651212</v>
      </c>
      <c r="N345" s="469"/>
      <c r="O345" s="468"/>
    </row>
    <row r="346" spans="2:15" x14ac:dyDescent="0.25">
      <c r="B346" s="163">
        <v>339</v>
      </c>
      <c r="C346" s="164">
        <f t="shared" ca="1" si="24"/>
        <v>1389194.969502812</v>
      </c>
      <c r="D346" s="164">
        <f t="shared" ca="1" si="23"/>
        <v>79783.523274854859</v>
      </c>
      <c r="E346" s="164">
        <f t="shared" ca="1" si="21"/>
        <v>54234.816070212153</v>
      </c>
      <c r="F346" s="165">
        <f t="shared" ca="1" si="22"/>
        <v>25548.707204642706</v>
      </c>
      <c r="N346" s="469"/>
      <c r="O346" s="468"/>
    </row>
    <row r="347" spans="2:15" x14ac:dyDescent="0.25">
      <c r="B347" s="163">
        <v>340</v>
      </c>
      <c r="C347" s="164">
        <f t="shared" ca="1" si="24"/>
        <v>1334000.1971881571</v>
      </c>
      <c r="D347" s="164">
        <f t="shared" ca="1" si="23"/>
        <v>79783.523274854859</v>
      </c>
      <c r="E347" s="164">
        <f t="shared" ca="1" si="21"/>
        <v>55194.772314654903</v>
      </c>
      <c r="F347" s="165">
        <f t="shared" ca="1" si="22"/>
        <v>24588.750960199955</v>
      </c>
      <c r="N347" s="469"/>
      <c r="O347" s="468"/>
    </row>
    <row r="348" spans="2:15" x14ac:dyDescent="0.25">
      <c r="B348" s="163">
        <v>341</v>
      </c>
      <c r="C348" s="164">
        <f t="shared" ca="1" si="24"/>
        <v>1277828.4774035327</v>
      </c>
      <c r="D348" s="164">
        <f t="shared" ca="1" si="23"/>
        <v>79783.523274854859</v>
      </c>
      <c r="E348" s="164">
        <f t="shared" ca="1" si="21"/>
        <v>56171.719784624293</v>
      </c>
      <c r="F348" s="165">
        <f t="shared" ca="1" si="22"/>
        <v>23611.803490230563</v>
      </c>
      <c r="N348" s="469"/>
      <c r="O348" s="468"/>
    </row>
    <row r="349" spans="2:15" x14ac:dyDescent="0.25">
      <c r="B349" s="163">
        <v>342</v>
      </c>
      <c r="C349" s="164">
        <f t="shared" ca="1" si="24"/>
        <v>1220662.5181787205</v>
      </c>
      <c r="D349" s="164">
        <f t="shared" ca="1" si="23"/>
        <v>79783.523274854844</v>
      </c>
      <c r="E349" s="164">
        <f t="shared" ca="1" si="21"/>
        <v>57165.959224812141</v>
      </c>
      <c r="F349" s="165">
        <f t="shared" ca="1" si="22"/>
        <v>22617.564050042707</v>
      </c>
      <c r="N349" s="469"/>
      <c r="O349" s="468"/>
    </row>
    <row r="350" spans="2:15" x14ac:dyDescent="0.25">
      <c r="B350" s="163">
        <v>343</v>
      </c>
      <c r="C350" s="164">
        <f t="shared" ca="1" si="24"/>
        <v>1162484.7214756291</v>
      </c>
      <c r="D350" s="164">
        <f t="shared" ca="1" si="23"/>
        <v>79783.523274854859</v>
      </c>
      <c r="E350" s="164">
        <f t="shared" ca="1" si="21"/>
        <v>58177.796703091321</v>
      </c>
      <c r="F350" s="165">
        <f t="shared" ca="1" si="22"/>
        <v>21605.726571763538</v>
      </c>
      <c r="N350" s="469"/>
      <c r="O350" s="468"/>
    </row>
    <row r="351" spans="2:15" x14ac:dyDescent="0.25">
      <c r="B351" s="163">
        <v>344</v>
      </c>
      <c r="C351" s="164">
        <f t="shared" ca="1" si="24"/>
        <v>1103277.1777708931</v>
      </c>
      <c r="D351" s="164">
        <f t="shared" ca="1" si="23"/>
        <v>79783.523274854859</v>
      </c>
      <c r="E351" s="164">
        <f t="shared" ca="1" si="21"/>
        <v>59207.543704736039</v>
      </c>
      <c r="F351" s="165">
        <f t="shared" ca="1" si="22"/>
        <v>20575.979570118823</v>
      </c>
      <c r="N351" s="469"/>
      <c r="O351" s="468"/>
    </row>
    <row r="352" spans="2:15" x14ac:dyDescent="0.25">
      <c r="B352" s="163">
        <v>345</v>
      </c>
      <c r="C352" s="164">
        <f t="shared" ca="1" si="24"/>
        <v>1043021.6605425832</v>
      </c>
      <c r="D352" s="164">
        <f t="shared" ca="1" si="23"/>
        <v>79783.523274854859</v>
      </c>
      <c r="E352" s="164">
        <f t="shared" ca="1" si="21"/>
        <v>60255.517228309865</v>
      </c>
      <c r="F352" s="165">
        <f t="shared" ca="1" si="22"/>
        <v>19528.006046544993</v>
      </c>
      <c r="N352" s="469"/>
      <c r="O352" s="468"/>
    </row>
    <row r="353" spans="2:15" x14ac:dyDescent="0.25">
      <c r="B353" s="163">
        <v>346</v>
      </c>
      <c r="C353" s="164">
        <f t="shared" ca="1" si="24"/>
        <v>981699.62065933226</v>
      </c>
      <c r="D353" s="164">
        <f t="shared" ca="1" si="23"/>
        <v>79783.523274854859</v>
      </c>
      <c r="E353" s="164">
        <f t="shared" ca="1" si="21"/>
        <v>61322.039883250953</v>
      </c>
      <c r="F353" s="165">
        <f t="shared" ca="1" si="22"/>
        <v>18461.48339160391</v>
      </c>
      <c r="N353" s="469"/>
      <c r="O353" s="468"/>
    </row>
    <row r="354" spans="2:15" x14ac:dyDescent="0.25">
      <c r="B354" s="163">
        <v>347</v>
      </c>
      <c r="C354" s="164">
        <f t="shared" ca="1" si="24"/>
        <v>919292.18067014776</v>
      </c>
      <c r="D354" s="164">
        <f t="shared" ca="1" si="23"/>
        <v>79783.523274854859</v>
      </c>
      <c r="E354" s="164">
        <f t="shared" ca="1" si="21"/>
        <v>62407.439989184495</v>
      </c>
      <c r="F354" s="165">
        <f t="shared" ca="1" si="22"/>
        <v>17376.083285670367</v>
      </c>
      <c r="N354" s="469"/>
      <c r="O354" s="468"/>
    </row>
    <row r="355" spans="2:15" x14ac:dyDescent="0.25">
      <c r="B355" s="163">
        <v>348</v>
      </c>
      <c r="C355" s="164">
        <f t="shared" ca="1" si="24"/>
        <v>855780.12899315474</v>
      </c>
      <c r="D355" s="164">
        <f t="shared" ca="1" si="23"/>
        <v>79783.523274854859</v>
      </c>
      <c r="E355" s="164">
        <f t="shared" ca="1" si="21"/>
        <v>63512.051676993055</v>
      </c>
      <c r="F355" s="165">
        <f t="shared" ca="1" si="22"/>
        <v>16271.471597861801</v>
      </c>
      <c r="N355" s="469"/>
      <c r="O355" s="468"/>
    </row>
    <row r="356" spans="2:15" x14ac:dyDescent="0.25">
      <c r="B356" s="163">
        <v>349</v>
      </c>
      <c r="C356" s="164">
        <f t="shared" ca="1" si="24"/>
        <v>791143.91400147893</v>
      </c>
      <c r="D356" s="164">
        <f t="shared" ca="1" si="23"/>
        <v>79783.523274854844</v>
      </c>
      <c r="E356" s="164">
        <f t="shared" ca="1" si="21"/>
        <v>64636.214991675828</v>
      </c>
      <c r="F356" s="165">
        <f t="shared" ca="1" si="22"/>
        <v>15147.308283179023</v>
      </c>
      <c r="N356" s="469"/>
      <c r="O356" s="468"/>
    </row>
    <row r="357" spans="2:15" x14ac:dyDescent="0.25">
      <c r="B357" s="163">
        <v>350</v>
      </c>
      <c r="C357" s="164">
        <f t="shared" ca="1" si="24"/>
        <v>725363.63800445048</v>
      </c>
      <c r="D357" s="164">
        <f t="shared" ca="1" si="23"/>
        <v>79783.523274854859</v>
      </c>
      <c r="E357" s="164">
        <f t="shared" ca="1" si="21"/>
        <v>65780.275997028497</v>
      </c>
      <c r="F357" s="165">
        <f t="shared" ca="1" si="22"/>
        <v>14003.24727782636</v>
      </c>
      <c r="N357" s="469"/>
      <c r="O357" s="468"/>
    </row>
    <row r="358" spans="2:15" x14ac:dyDescent="0.25">
      <c r="B358" s="163">
        <v>351</v>
      </c>
      <c r="C358" s="164">
        <f t="shared" ca="1" si="24"/>
        <v>658419.0511222746</v>
      </c>
      <c r="D358" s="164">
        <f t="shared" ca="1" si="23"/>
        <v>79783.523274854844</v>
      </c>
      <c r="E358" s="164">
        <f t="shared" ca="1" si="21"/>
        <v>66944.586882175892</v>
      </c>
      <c r="F358" s="165">
        <f t="shared" ca="1" si="22"/>
        <v>12838.936392678957</v>
      </c>
      <c r="N358" s="469"/>
      <c r="O358" s="468"/>
    </row>
    <row r="359" spans="2:15" x14ac:dyDescent="0.25">
      <c r="B359" s="163">
        <v>352</v>
      </c>
      <c r="C359" s="164">
        <f t="shared" ca="1" si="24"/>
        <v>590289.54505228414</v>
      </c>
      <c r="D359" s="164">
        <f t="shared" ca="1" si="23"/>
        <v>79783.523274854859</v>
      </c>
      <c r="E359" s="164">
        <f t="shared" ca="1" si="21"/>
        <v>68129.506069990413</v>
      </c>
      <c r="F359" s="165">
        <f t="shared" ca="1" si="22"/>
        <v>11654.017204864444</v>
      </c>
      <c r="N359" s="469"/>
      <c r="O359" s="468"/>
    </row>
    <row r="360" spans="2:15" x14ac:dyDescent="0.25">
      <c r="B360" s="163">
        <v>353</v>
      </c>
      <c r="C360" s="164">
        <f t="shared" ca="1" si="24"/>
        <v>520954.14672485489</v>
      </c>
      <c r="D360" s="164">
        <f t="shared" ca="1" si="23"/>
        <v>79783.523274854859</v>
      </c>
      <c r="E360" s="164">
        <f t="shared" ca="1" si="21"/>
        <v>69335.39832742924</v>
      </c>
      <c r="F360" s="165">
        <f t="shared" ca="1" si="22"/>
        <v>10448.124947425615</v>
      </c>
      <c r="N360" s="469"/>
      <c r="O360" s="468"/>
    </row>
    <row r="361" spans="2:15" x14ac:dyDescent="0.25">
      <c r="B361" s="163">
        <v>354</v>
      </c>
      <c r="C361" s="164">
        <f t="shared" ca="1" si="24"/>
        <v>450391.51184703014</v>
      </c>
      <c r="D361" s="164">
        <f t="shared" ca="1" si="23"/>
        <v>79783.523274854844</v>
      </c>
      <c r="E361" s="164">
        <f t="shared" ca="1" si="21"/>
        <v>70562.634877824734</v>
      </c>
      <c r="F361" s="165">
        <f t="shared" ca="1" si="22"/>
        <v>9220.8883970301176</v>
      </c>
      <c r="N361" s="469"/>
      <c r="O361" s="468"/>
    </row>
    <row r="362" spans="2:15" x14ac:dyDescent="0.25">
      <c r="B362" s="163">
        <v>355</v>
      </c>
      <c r="C362" s="164">
        <f t="shared" ca="1" si="24"/>
        <v>378579.9183318679</v>
      </c>
      <c r="D362" s="164">
        <f t="shared" ca="1" si="23"/>
        <v>79783.523274854859</v>
      </c>
      <c r="E362" s="164">
        <f t="shared" ca="1" si="21"/>
        <v>71811.59351516224</v>
      </c>
      <c r="F362" s="165">
        <f t="shared" ca="1" si="22"/>
        <v>7971.929759692619</v>
      </c>
      <c r="N362" s="469"/>
      <c r="O362" s="468"/>
    </row>
    <row r="363" spans="2:15" x14ac:dyDescent="0.25">
      <c r="B363" s="163">
        <v>356</v>
      </c>
      <c r="C363" s="164">
        <f t="shared" ca="1" si="24"/>
        <v>305497.25961148727</v>
      </c>
      <c r="D363" s="164">
        <f t="shared" ca="1" si="23"/>
        <v>79783.523274854859</v>
      </c>
      <c r="E363" s="164">
        <f t="shared" ca="1" si="21"/>
        <v>73082.658720380612</v>
      </c>
      <c r="F363" s="165">
        <f t="shared" ca="1" si="22"/>
        <v>6700.8645544742476</v>
      </c>
      <c r="N363" s="469"/>
      <c r="O363" s="468"/>
    </row>
    <row r="364" spans="2:15" x14ac:dyDescent="0.25">
      <c r="B364" s="163">
        <v>357</v>
      </c>
      <c r="C364" s="164">
        <f t="shared" ca="1" si="24"/>
        <v>231121.03783175594</v>
      </c>
      <c r="D364" s="164">
        <f t="shared" ca="1" si="23"/>
        <v>79783.523274854859</v>
      </c>
      <c r="E364" s="164">
        <f t="shared" ca="1" si="21"/>
        <v>74376.22177973135</v>
      </c>
      <c r="F364" s="165">
        <f t="shared" ca="1" si="22"/>
        <v>5407.30149512351</v>
      </c>
      <c r="N364" s="469"/>
      <c r="O364" s="468"/>
    </row>
    <row r="365" spans="2:15" x14ac:dyDescent="0.25">
      <c r="B365" s="163">
        <v>358</v>
      </c>
      <c r="C365" s="164">
        <f t="shared" ca="1" si="24"/>
        <v>155428.35692652335</v>
      </c>
      <c r="D365" s="164">
        <f t="shared" ca="1" si="23"/>
        <v>79783.523274854844</v>
      </c>
      <c r="E365" s="164">
        <f t="shared" ca="1" si="21"/>
        <v>75692.680905232584</v>
      </c>
      <c r="F365" s="165">
        <f t="shared" ca="1" si="22"/>
        <v>4090.8423696222658</v>
      </c>
      <c r="N365" s="469"/>
      <c r="O365" s="468"/>
    </row>
    <row r="366" spans="2:15" x14ac:dyDescent="0.25">
      <c r="B366" s="163">
        <v>359</v>
      </c>
      <c r="C366" s="164">
        <f t="shared" ca="1" si="24"/>
        <v>78395.915569268152</v>
      </c>
      <c r="D366" s="164">
        <f t="shared" ca="1" si="23"/>
        <v>79783.523274854844</v>
      </c>
      <c r="E366" s="164">
        <f t="shared" ca="1" si="21"/>
        <v>77032.4413572552</v>
      </c>
      <c r="F366" s="165">
        <f t="shared" ca="1" si="22"/>
        <v>2751.0819175996489</v>
      </c>
      <c r="N366" s="469"/>
      <c r="O366" s="468"/>
    </row>
    <row r="367" spans="2:15" x14ac:dyDescent="0.25">
      <c r="B367" s="163">
        <v>360</v>
      </c>
      <c r="C367" s="164">
        <f t="shared" ca="1" si="24"/>
        <v>-1.0477378964424133E-8</v>
      </c>
      <c r="D367" s="164">
        <f t="shared" ca="1" si="23"/>
        <v>79783.523274854859</v>
      </c>
      <c r="E367" s="164">
        <f t="shared" ca="1" si="21"/>
        <v>78395.91556927863</v>
      </c>
      <c r="F367" s="165">
        <f t="shared" ca="1" si="22"/>
        <v>1387.6077055762316</v>
      </c>
      <c r="N367" s="469"/>
      <c r="O367" s="468"/>
    </row>
    <row r="368" spans="2:15" x14ac:dyDescent="0.25">
      <c r="F368" s="166"/>
    </row>
  </sheetData>
  <sheetProtection algorithmName="SHA-512" hashValue="drJcdFrCcLlqgkFdYhUgHoCu8nV/ffhGFxFlAqoJhTqjnndKAO5EGXZah7XNkfBSLXiN16hoMv2d7tHVzyrWww==" saltValue="n+xCEyfmK8Fe6wTDcemdvg==" spinCount="100000" sheet="1" objects="1" scenarios="1"/>
  <protectedRanges>
    <protectedRange sqref="H25 J17 J28:J29 O34:O36 J25 J22 J7:J13 J34:J37" name="Диапазон1"/>
  </protectedRanges>
  <dataConsolidate/>
  <mergeCells count="4">
    <mergeCell ref="H43:I44"/>
    <mergeCell ref="H45:I46"/>
    <mergeCell ref="H6:J6"/>
    <mergeCell ref="B2:D2"/>
  </mergeCells>
  <conditionalFormatting sqref="J14">
    <cfRule type="expression" dxfId="47" priority="117">
      <formula>"ЕСЛИ(И($D$7=""Новостройка с господдержкой 2020"";$D$9&gt;3000000);ИСТИНА)"</formula>
    </cfRule>
  </conditionalFormatting>
  <conditionalFormatting sqref="J15">
    <cfRule type="expression" dxfId="46" priority="82">
      <formula>ISTEXT($J$15)</formula>
    </cfRule>
  </conditionalFormatting>
  <conditionalFormatting sqref="J17">
    <cfRule type="expression" dxfId="45" priority="141">
      <formula>OR(J14="Новостройка с господдержкой 2020",J14="Семейная ипотека")</formula>
    </cfRule>
  </conditionalFormatting>
  <conditionalFormatting sqref="H27:J32">
    <cfRule type="expression" dxfId="44" priority="10">
      <formula>NOT($O$10)</formula>
    </cfRule>
  </conditionalFormatting>
  <conditionalFormatting sqref="H18:J18">
    <cfRule type="expression" dxfId="43" priority="288">
      <formula>$O$7</formula>
    </cfRule>
  </conditionalFormatting>
  <conditionalFormatting sqref="H35:J46">
    <cfRule type="expression" dxfId="42" priority="13">
      <formula>OR(NOT($J$34),NOT($O$8))</formula>
    </cfRule>
  </conditionalFormatting>
  <conditionalFormatting sqref="H39:J39">
    <cfRule type="expression" dxfId="41" priority="30">
      <formula>$J$35&lt;&gt;"полный срок"</formula>
    </cfRule>
  </conditionalFormatting>
  <conditionalFormatting sqref="H38:J38">
    <cfRule type="expression" dxfId="40" priority="31">
      <formula>NOT($J$35&lt;&gt;"полный срок")</formula>
    </cfRule>
  </conditionalFormatting>
  <conditionalFormatting sqref="J40 J37">
    <cfRule type="expression" dxfId="39" priority="29">
      <formula>$J$43="Выберите подходящие параметры"</formula>
    </cfRule>
  </conditionalFormatting>
  <conditionalFormatting sqref="B22:E22">
    <cfRule type="expression" dxfId="38" priority="291">
      <formula>IF(#REF!&gt;#REF!,TRUE,FALSE)</formula>
    </cfRule>
  </conditionalFormatting>
  <conditionalFormatting sqref="B24:E24">
    <cfRule type="expression" dxfId="37" priority="292">
      <formula>IF(#REF!&gt;#REF!,TRUE,FALSE)</formula>
    </cfRule>
  </conditionalFormatting>
  <conditionalFormatting sqref="B21:E21">
    <cfRule type="expression" dxfId="36" priority="293">
      <formula>IF(#REF!&gt;#REF!,TRUE,FALSE)</formula>
    </cfRule>
  </conditionalFormatting>
  <conditionalFormatting sqref="K45:K100">
    <cfRule type="expression" dxfId="35" priority="18">
      <formula>K45&lt;&gt;""</formula>
    </cfRule>
  </conditionalFormatting>
  <conditionalFormatting sqref="H25:J25">
    <cfRule type="expression" dxfId="34" priority="17">
      <formula>NOT($J$24)</formula>
    </cfRule>
  </conditionalFormatting>
  <conditionalFormatting sqref="H22:J22">
    <cfRule type="expression" dxfId="33" priority="303">
      <formula>NOT($O$11)</formula>
    </cfRule>
  </conditionalFormatting>
  <conditionalFormatting sqref="H28:J32">
    <cfRule type="expression" dxfId="32" priority="313">
      <formula>NOT($J$27)</formula>
    </cfRule>
  </conditionalFormatting>
  <conditionalFormatting sqref="H27:J27">
    <cfRule type="expression" dxfId="31" priority="11">
      <formula>$O$10</formula>
    </cfRule>
    <cfRule type="expression" dxfId="30" priority="16">
      <formula>NOT($J$27)</formula>
    </cfRule>
  </conditionalFormatting>
  <conditionalFormatting sqref="H34:J34">
    <cfRule type="expression" dxfId="29" priority="12">
      <formula>$O$8</formula>
    </cfRule>
    <cfRule type="expression" dxfId="28" priority="15">
      <formula>NOT($O$8)</formula>
    </cfRule>
  </conditionalFormatting>
  <conditionalFormatting sqref="H28:J28">
    <cfRule type="expression" dxfId="27" priority="44">
      <formula>$J$27</formula>
    </cfRule>
  </conditionalFormatting>
  <conditionalFormatting sqref="K11:K12">
    <cfRule type="containsText" dxfId="26" priority="6" operator="containsText" text=" - диапазон">
      <formula>NOT(ISERROR(SEARCH(" - диапазон",K11)))</formula>
    </cfRule>
    <cfRule type="expression" dxfId="25" priority="19">
      <formula>K11&lt;&gt;""</formula>
    </cfRule>
  </conditionalFormatting>
  <conditionalFormatting sqref="K24">
    <cfRule type="expression" dxfId="24" priority="5">
      <formula>$K$24&lt;&gt;""</formula>
    </cfRule>
  </conditionalFormatting>
  <conditionalFormatting sqref="H24:J25">
    <cfRule type="expression" dxfId="23" priority="3">
      <formula>NOT($O$9)</formula>
    </cfRule>
  </conditionalFormatting>
  <conditionalFormatting sqref="K37">
    <cfRule type="expression" dxfId="22" priority="2">
      <formula>$K$37&lt;&gt;""</formula>
    </cfRule>
  </conditionalFormatting>
  <conditionalFormatting sqref="K38">
    <cfRule type="expression" dxfId="21" priority="1">
      <formula>$K$38&lt;&gt;""</formula>
    </cfRule>
  </conditionalFormatting>
  <conditionalFormatting sqref="B7:F7">
    <cfRule type="expression" dxfId="20" priority="367">
      <formula>IF($O32&gt;#REF!,TRUE,FALSE)</formula>
    </cfRule>
  </conditionalFormatting>
  <dataValidations count="8">
    <dataValidation type="list" allowBlank="1" showInputMessage="1" showErrorMessage="1" sqref="J36">
      <formula1>"без отсрочки"</formula1>
    </dataValidation>
    <dataValidation type="list" allowBlank="1" showInputMessage="1" showErrorMessage="1" sqref="J13">
      <formula1>"3,4,5,6,7,8,9,10,11,12,13,14,15,16,17,18,19,20,21,22,23,24,25,26,27,28,29,30"</formula1>
    </dataValidation>
    <dataValidation type="list" allowBlank="1" showInputMessage="1" showErrorMessage="1" sqref="I42">
      <formula1>"с сохранением ПВ в руб, с сохранением ПВ в %"</formula1>
    </dataValidation>
    <dataValidation type="list" allowBlank="1" showInputMessage="1" showErrorMessage="1" sqref="J25">
      <formula1>"6,9,12,24,36,48,60"</formula1>
    </dataValidation>
    <dataValidation type="list" allowBlank="1" showInputMessage="1" showErrorMessage="1" sqref="H25">
      <formula1>"Без процентов,Половина процентов"</formula1>
    </dataValidation>
    <dataValidation type="list" allowBlank="1" showInputMessage="1" showErrorMessage="1" sqref="J35">
      <formula1>"полный срок,6,12,24,36,48,60"</formula1>
    </dataValidation>
    <dataValidation type="list" allowBlank="1" showInputMessage="1" showErrorMessage="1" sqref="J9">
      <formula1>"ДДУ,ДКП"</formula1>
    </dataValidation>
    <dataValidation type="custom" allowBlank="1" showInputMessage="1" showErrorMessage="1" error="Превышен максимальный LTV по программе" sqref="J14">
      <formula1>IF(AND(J7="Новостройка",OR(J8="Квартира",J8="Апартаменты")),IF(J11/J10&lt;0.1,FALSE,TRUE),IF(J11/J10&lt;0.2,FALSE,TRUE))</formula1>
    </dataValidation>
  </dataValidations>
  <pageMargins left="0.25" right="0.25" top="0.75" bottom="0.75" header="0.3" footer="0.3"/>
  <pageSetup paperSize="9" scale="33" fitToHeight="0" orientation="portrait" r:id="rId1"/>
  <ignoredErrors>
    <ignoredError sqref="J32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67" r:id="rId4" name="Check Box 743">
              <controlPr defaultSize="0" autoFill="0" autoLine="0" autoPict="0">
                <anchor moveWithCells="1">
                  <from>
                    <xdr:col>9</xdr:col>
                    <xdr:colOff>1076325</xdr:colOff>
                    <xdr:row>27</xdr:row>
                    <xdr:rowOff>180975</xdr:rowOff>
                  </from>
                  <to>
                    <xdr:col>9</xdr:col>
                    <xdr:colOff>1609725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5" name="Check Box 745">
              <controlPr locked="0" defaultSize="0" autoFill="0" autoLine="0" autoPict="0" altText="_x000a_">
                <anchor moveWithCells="1">
                  <from>
                    <xdr:col>9</xdr:col>
                    <xdr:colOff>1076325</xdr:colOff>
                    <xdr:row>21</xdr:row>
                    <xdr:rowOff>0</xdr:rowOff>
                  </from>
                  <to>
                    <xdr:col>9</xdr:col>
                    <xdr:colOff>1609725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6" name="Check Box 763">
              <controlPr defaultSize="0" autoFill="0" autoLine="0" autoPict="0">
                <anchor moveWithCells="1">
                  <from>
                    <xdr:col>9</xdr:col>
                    <xdr:colOff>1076325</xdr:colOff>
                    <xdr:row>33</xdr:row>
                    <xdr:rowOff>19050</xdr:rowOff>
                  </from>
                  <to>
                    <xdr:col>9</xdr:col>
                    <xdr:colOff>1609725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" name="Check Box 770">
              <controlPr defaultSize="0" autoFill="0" autoLine="0" autoPict="0">
                <anchor moveWithCells="1">
                  <from>
                    <xdr:col>9</xdr:col>
                    <xdr:colOff>1076325</xdr:colOff>
                    <xdr:row>26</xdr:row>
                    <xdr:rowOff>9525</xdr:rowOff>
                  </from>
                  <to>
                    <xdr:col>9</xdr:col>
                    <xdr:colOff>1609725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8" name="Check Box 777">
              <controlPr defaultSize="0" autoFill="0" autoLine="0" autoPict="0">
                <anchor moveWithCells="1">
                  <from>
                    <xdr:col>9</xdr:col>
                    <xdr:colOff>1085850</xdr:colOff>
                    <xdr:row>23</xdr:row>
                    <xdr:rowOff>9525</xdr:rowOff>
                  </from>
                  <to>
                    <xdr:col>9</xdr:col>
                    <xdr:colOff>1619250</xdr:colOff>
                    <xdr:row>23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тарифы!$U$2:$U$6</xm:f>
          </x14:formula1>
          <xm:sqref>J7</xm:sqref>
        </x14:dataValidation>
        <x14:dataValidation type="list" allowBlank="1" showInputMessage="1" showErrorMessage="1">
          <x14:formula1>
            <xm:f>OFFSET(тарифы!$AB$1,MATCH($J$7,тарифы!$AB$2:$AB$151,0),1,COUNTIF(тарифы!$AB$2:$AB$151,$J$7),1)</xm:f>
          </x14:formula1>
          <xm:sqref>J28</xm:sqref>
        </x14:dataValidation>
        <x14:dataValidation type="list" allowBlank="1" showInputMessage="1" showErrorMessage="1">
          <x14:formula1>
            <xm:f>OFFSET(тарифы!$R$1,MATCH($J$7,тарифы!$R$2:$R$26,0),1,COUNTIF(тарифы!$R$2:$R$26,$J$7),1)</xm:f>
          </x14:formula1>
          <xm:sqref>J8</xm:sqref>
        </x14:dataValidation>
        <x14:dataValidation type="list" allowBlank="1" showInputMessage="1" showErrorMessage="1">
          <x14:formula1>
            <xm:f>тарифы!$AW$2:$AW$3</xm:f>
          </x14:formula1>
          <xm:sqref>J18</xm:sqref>
        </x14:dataValidation>
        <x14:dataValidation type="list" allowBlank="1">
          <x14:formula1>
            <xm:f>OFFSET(данные!A1,IF(O6,$O$23-1,O26-1+O27-1+O28),IF(O6,O21,4),1,IF(O6,$O$22,$O$29))</xm:f>
          </x14:formula1>
          <xm:sqref>J37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Y33"/>
  <sheetViews>
    <sheetView showGridLines="0" tabSelected="1" zoomScaleNormal="100" workbookViewId="0">
      <selection activeCell="F68" sqref="F68"/>
    </sheetView>
  </sheetViews>
  <sheetFormatPr defaultRowHeight="11.25" x14ac:dyDescent="0.15"/>
  <cols>
    <col min="1" max="1" width="9.140625" style="24" customWidth="1"/>
    <col min="2" max="2" width="48.42578125" style="1" customWidth="1"/>
    <col min="3" max="3" width="20.85546875" style="1" customWidth="1"/>
    <col min="4" max="4" width="18" style="158" customWidth="1"/>
    <col min="5" max="5" width="19.42578125" style="158" customWidth="1"/>
    <col min="6" max="6" width="17.42578125" style="158" customWidth="1"/>
    <col min="7" max="7" width="22.42578125" style="158" customWidth="1"/>
    <col min="8" max="8" width="27.42578125" style="158" customWidth="1"/>
    <col min="9" max="9" width="9.42578125" style="158" bestFit="1" customWidth="1"/>
    <col min="10" max="10" width="9" style="158"/>
    <col min="11" max="16384" width="9.140625" style="1"/>
  </cols>
  <sheetData>
    <row r="1" spans="1:25" ht="9.9499999999999993" customHeight="1" x14ac:dyDescent="0.15">
      <c r="E1" s="290"/>
    </row>
    <row r="2" spans="1:25" ht="15" customHeight="1" x14ac:dyDescent="0.15">
      <c r="B2" s="211" t="s">
        <v>156</v>
      </c>
      <c r="C2" s="211"/>
      <c r="D2" s="211"/>
    </row>
    <row r="3" spans="1:25" ht="9.9499999999999993" customHeight="1" x14ac:dyDescent="0.15">
      <c r="D3" s="1"/>
    </row>
    <row r="4" spans="1:25" ht="15" customHeight="1" x14ac:dyDescent="0.15">
      <c r="B4" s="224" t="s">
        <v>25</v>
      </c>
      <c r="C4" s="540" t="s">
        <v>5</v>
      </c>
      <c r="D4" s="540"/>
      <c r="E4" s="24"/>
      <c r="F4" s="24"/>
      <c r="G4" s="24"/>
      <c r="H4" s="182" t="s">
        <v>111</v>
      </c>
      <c r="I4" s="183" t="b">
        <f>OR(C4="Новостройка с господдержкой 2020",C4="Семейная ипотека",C4="Семейная ипотека ДФО",C4="Ипотека для IT-специалистов",C4="Дальневосточная ипотека",C4="Рефинансирование по Семейной ипотеке")</f>
        <v>0</v>
      </c>
      <c r="J4" s="24"/>
      <c r="K4" s="24"/>
      <c r="L4" s="168"/>
      <c r="M4" s="168"/>
      <c r="N4" s="168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</row>
    <row r="5" spans="1:25" ht="15" customHeight="1" x14ac:dyDescent="0.15">
      <c r="B5" s="225" t="s">
        <v>9</v>
      </c>
      <c r="C5" s="541" t="s">
        <v>14</v>
      </c>
      <c r="D5" s="541"/>
      <c r="E5" s="170"/>
      <c r="F5" s="170" t="str">
        <f ca="1">IF(ISERROR(INDEX(тарифы!$A$2:$P$1502,A11+A12+MATCH(A15,OFFSET(тарифы!$A$1,A11+A12-1,3,A14,1),-1)-2,6)+IF($C$7,0,INDEX(тарифы!$A$2:$P$1502,A11+A12+MATCH(A15,OFFSET(тарифы!$A$1,A11+A12-1,3,A14,1),-1)-2,7))+IF($C$9,INDEX(тарифы!$A$2:$P$1502,A11+A12+MATCH(A15,OFFSET(тарифы!$A$1,A11+A12-1,3,A14,1),-1)-2,8),0)),"выберите корректный тип залога","")</f>
        <v/>
      </c>
      <c r="G5" s="24"/>
      <c r="H5" s="24"/>
      <c r="I5" s="24"/>
      <c r="J5" s="24"/>
      <c r="K5" s="24"/>
      <c r="L5" s="168"/>
      <c r="M5" s="168"/>
      <c r="N5" s="168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</row>
    <row r="6" spans="1:25" ht="15" customHeight="1" x14ac:dyDescent="0.15">
      <c r="B6" s="225" t="s">
        <v>34</v>
      </c>
      <c r="C6" s="542" t="b">
        <v>0</v>
      </c>
      <c r="D6" s="542"/>
      <c r="E6" s="170" t="str">
        <f>IF(AND(OR(C4="Новостройка с господдержкой 2020",C4="Семейная ипотека",C4="Семейная ипотека ДФО",C4="Дальневосточная ипотека",C4="Рефинансирование по Семейной ипотеке",C4="Ипотека для IT-специалистов"),C6),"Услуга недоступна в кредит, необходимо снять галочку","")</f>
        <v/>
      </c>
      <c r="F6" s="170"/>
      <c r="G6" s="24"/>
      <c r="H6" s="24"/>
      <c r="I6" s="24"/>
      <c r="J6" s="24"/>
      <c r="K6" s="24"/>
      <c r="L6" s="168"/>
      <c r="M6" s="168"/>
      <c r="N6" s="168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</row>
    <row r="7" spans="1:25" ht="15" customHeight="1" x14ac:dyDescent="0.15">
      <c r="B7" s="225" t="s">
        <v>52</v>
      </c>
      <c r="C7" s="542" t="b">
        <v>0</v>
      </c>
      <c r="D7" s="542"/>
      <c r="E7" s="170" t="str">
        <f>IF(AND(OR(C4="Рефинансирование по Семейной ипотеке"),C7),"Выгодная ипотека с Халвой не применима","")</f>
        <v/>
      </c>
      <c r="F7" s="24"/>
      <c r="G7" s="24"/>
      <c r="H7" s="24"/>
      <c r="I7" s="24"/>
      <c r="J7" s="24"/>
      <c r="K7" s="24"/>
      <c r="L7" s="168"/>
      <c r="M7" s="168"/>
      <c r="N7" s="168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</row>
    <row r="8" spans="1:25" ht="15" customHeight="1" x14ac:dyDescent="0.15">
      <c r="B8" s="226" t="s">
        <v>146</v>
      </c>
      <c r="C8" s="544">
        <v>5.0000000000000001E-3</v>
      </c>
      <c r="D8" s="544"/>
      <c r="E8" s="170"/>
      <c r="F8" s="24"/>
      <c r="G8" s="24"/>
      <c r="H8" s="24"/>
      <c r="I8" s="24"/>
      <c r="J8" s="24"/>
      <c r="K8" s="24"/>
      <c r="L8" s="168"/>
      <c r="M8" s="168"/>
      <c r="N8" s="168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</row>
    <row r="9" spans="1:25" ht="15" customHeight="1" x14ac:dyDescent="0.15">
      <c r="B9" s="24" t="s">
        <v>32</v>
      </c>
      <c r="C9" s="184" t="b">
        <v>1</v>
      </c>
      <c r="E9" s="24"/>
      <c r="F9" s="24"/>
      <c r="G9" s="24"/>
      <c r="H9" s="24"/>
      <c r="I9" s="24"/>
      <c r="J9" s="24"/>
      <c r="K9" s="24"/>
      <c r="L9" s="168"/>
      <c r="M9" s="168"/>
      <c r="N9" s="168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</row>
    <row r="10" spans="1:25" s="158" customFormat="1" ht="15" customHeight="1" x14ac:dyDescent="0.15">
      <c r="A10" s="24"/>
      <c r="B10" s="24" t="s">
        <v>75</v>
      </c>
      <c r="C10" s="543" t="b">
        <v>0</v>
      </c>
      <c r="D10" s="54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s="34" customFormat="1" ht="15" customHeight="1" x14ac:dyDescent="0.15">
      <c r="A11" s="24">
        <f>MATCH($C$4,тарифы!$A$2:$A$1502,0)</f>
        <v>1</v>
      </c>
      <c r="B11" s="174" t="s">
        <v>77</v>
      </c>
      <c r="C11" s="543" t="b">
        <v>1</v>
      </c>
      <c r="D11" s="543"/>
      <c r="E11" s="170" t="str">
        <f>IF(C11,"Сумма кредита от 8 млн Мск/МО, 4 млн СПБ/ЛО, 3 млн прочие","")</f>
        <v>Сумма кредита от 8 млн Мск/МО, 4 млн СПБ/ЛО, 3 млн прочие</v>
      </c>
      <c r="F11" s="24"/>
      <c r="G11" s="24"/>
      <c r="H11" s="24"/>
      <c r="I11" s="24"/>
      <c r="J11" s="24"/>
      <c r="K11" s="24"/>
      <c r="L11" s="24"/>
      <c r="M11" s="24"/>
      <c r="N11" s="24"/>
    </row>
    <row r="12" spans="1:25" s="34" customFormat="1" x14ac:dyDescent="0.15">
      <c r="A12" s="24">
        <f ca="1">MATCH(C5,OFFSET(тарифы!$A$1,A11,1,COUNTIF(тарифы!$A$2:$A$1502,C4),1),0)</f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25" s="34" customFormat="1" x14ac:dyDescent="0.15">
      <c r="A13" s="24">
        <f ca="1">MATCH(C9,OFFSET(тарифы!$A$1,A11,7,COUNTIF(тарифы!$A$2:$A$502,C4),1),0)</f>
        <v>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25" s="187" customFormat="1" ht="28.5" customHeight="1" x14ac:dyDescent="0.15">
      <c r="A14" s="185">
        <f>COUNTIFS(тарифы!$A:$A,C4,тарифы!B:B,C5,тарифы!H:H,C9)</f>
        <v>1</v>
      </c>
      <c r="B14" s="220" t="s">
        <v>167</v>
      </c>
      <c r="C14" s="220" t="s">
        <v>41</v>
      </c>
      <c r="D14" s="220" t="s">
        <v>148</v>
      </c>
      <c r="E14" s="220" t="s">
        <v>149</v>
      </c>
      <c r="F14" s="220" t="s">
        <v>158</v>
      </c>
      <c r="G14" s="220" t="s">
        <v>150</v>
      </c>
      <c r="H14" s="220" t="s">
        <v>151</v>
      </c>
      <c r="I14" s="186"/>
      <c r="J14" s="186"/>
    </row>
    <row r="15" spans="1:25" ht="18" customHeight="1" x14ac:dyDescent="0.15">
      <c r="A15" s="173">
        <f ca="1">OFFSET(тарифы!$A$1,A11+A12-1,3,A14,1)</f>
        <v>0.85</v>
      </c>
      <c r="B15" s="536">
        <v>10000000</v>
      </c>
      <c r="C15" s="536">
        <v>360</v>
      </c>
      <c r="D15" s="101">
        <f ca="1">IF(AND(OFFSET(тарифы!$AB$1,MATCH($C$4,тарифы!$AB$2:$AB$55,0)+COUNTIF(тарифы!$AB$2:$AB$55,$C$4)-1,1,1,1)&gt;=30%,OR($C$4="Новостройка",$C$4="Вторичка",$C$4="Рефинансирование")),"",OFFSET(тарифы!$AB$1,MATCH($C$4,тарифы!$AB$2:$AB$55,0)+COUNTIF(тарифы!$AB$2:$AB$55,$C$4)-1,1,1,1))</f>
        <v>0</v>
      </c>
      <c r="E15" s="20">
        <f ca="1">IFERROR(IF($C$6,($B$15)/(1-D15)-($B$15),$B$15*D15),"")</f>
        <v>0</v>
      </c>
      <c r="F15" s="21">
        <f ca="1">IFERROR($F$20+IFERROR(OFFSET(тарифы!$AB$1,MATCH(D15,OFFSET(тарифы!$AB$1,MATCH($C$4,тарифы!$AB$2:$AB$55,0),1,COUNTIF(тарифы!$AB$2:$AB$55,$C$4),1),0)-1+MATCH($C$4,тарифы!$AB$2:$AB$55,0),2,1,1),"выберите " &amp; CHAR(10) &amp; "корректную ставку"),"")</f>
        <v>0.21240000000000001</v>
      </c>
      <c r="G15" s="102">
        <f ca="1">IFERROR(-PMT(F15/12,$C$15,($B$15+IF($C$6,E15,0)),,0),"")</f>
        <v>177320.36110338013</v>
      </c>
      <c r="H15" s="20">
        <f t="shared" ref="H15:H20" ca="1" si="0">IFERROR(CUMIPMT(F15/12,$C$15,($B$15+IF($C$6,E15,0)),1,$C$15,0)-CUMIPMT($F$20/12,$C$15,($B$15),1,$C$15,0)-E15,"")</f>
        <v>0</v>
      </c>
    </row>
    <row r="16" spans="1:25" ht="18" customHeight="1" x14ac:dyDescent="0.15">
      <c r="A16" s="173"/>
      <c r="B16" s="537"/>
      <c r="C16" s="537"/>
      <c r="D16" s="101">
        <f ca="1">IF(AND(OFFSET(тарифы!$AB$1,MATCH($C$4,тарифы!$AB$2:$AB$55,0)+COUNTIF(тарифы!$AB$2:$AB$55,$C$4)-2,1,1,1)&gt;30%),"",OFFSET(тарифы!$AB$1,MATCH($C$4,тарифы!$AB$2:$AB$55,0)+COUNTIF(тарифы!$AB$2:$AB$55,$C$4)-2,1,1,1))</f>
        <v>0.27</v>
      </c>
      <c r="E16" s="20">
        <f t="shared" ref="E16:E19" ca="1" si="1">IFERROR(IF($C$6,($B$15)/(1-D16)-($B$15),$B$15*D16),"")</f>
        <v>2700000</v>
      </c>
      <c r="F16" s="21">
        <f ca="1">IFERROR($F$20+IFERROR(OFFSET(тарифы!$AB$1,MATCH(D16,OFFSET(тарифы!$AB$1,MATCH($C$4,тарифы!$AB$2:$AB$55,0),1,COUNTIF(тарифы!$AB$2:$AB$55,$C$4),1),0)-1+MATCH($C$4,тарифы!$AB$2:$AB$55,0),2,1,1),"выберите " &amp; CHAR(10) &amp; "корректную ставку"),"")</f>
        <v>0.11990000000000001</v>
      </c>
      <c r="G16" s="102">
        <f ca="1">IFERROR(-PMT(F16/12,$C$15,($B$15+IF($C$6,E16,0)),,0),"")</f>
        <v>102784.29042073271</v>
      </c>
      <c r="H16" s="20">
        <f t="shared" ca="1" si="0"/>
        <v>24132985.445753068</v>
      </c>
    </row>
    <row r="17" spans="2:9" ht="18" customHeight="1" x14ac:dyDescent="0.15">
      <c r="B17" s="538"/>
      <c r="C17" s="538"/>
      <c r="D17" s="101">
        <f ca="1">IF(AND(OFFSET(тарифы!$AB$1,MATCH($C$4,тарифы!$AB$2:$AB$55,0)+COUNTIF(тарифы!$AB$2:$AB$55,$C$4)-3,1,1,1)&gt;=30%),"",OFFSET(тарифы!$AB$1,MATCH($C$4,тарифы!$AB$2:$AB$55,0)+COUNTIF(тарифы!$AB$2:$AB$55,$C$4)-3,1,1,1))</f>
        <v>0.22</v>
      </c>
      <c r="E17" s="20">
        <f t="shared" ca="1" si="1"/>
        <v>2200000</v>
      </c>
      <c r="F17" s="21">
        <f ca="1">IFERROR($F$20+IFERROR(OFFSET(тарифы!$AB$1,MATCH(D17,OFFSET(тарифы!$AB$1,MATCH($C$4,тарифы!$AB$2:$AB$55,0),1,COUNTIF(тарифы!$AB$2:$AB$55,$C$4),1),0)-1+MATCH($C$4,тарифы!$AB$2:$AB$55,0),2,1,1),"выберите " &amp; CHAR(10) &amp; "корректную ставку"),"")</f>
        <v>0.13990000000000002</v>
      </c>
      <c r="G17" s="102">
        <f t="shared" ref="G17:G18" ca="1" si="2">IFERROR(-PMT(F17/12,$C$15,($B$15+IF($C$6,E17,0)),,0),"")</f>
        <v>118408.0286844722</v>
      </c>
      <c r="H17" s="20">
        <f t="shared" ca="1" si="0"/>
        <v>19008439.670806848</v>
      </c>
    </row>
    <row r="18" spans="2:9" ht="18" customHeight="1" x14ac:dyDescent="0.15">
      <c r="B18" s="538"/>
      <c r="C18" s="538"/>
      <c r="D18" s="101">
        <f ca="1">IF(AND(OFFSET(тарифы!$AB$1,MATCH($C$4,тарифы!$AB$2:$AB$55,0)+COUNTIF(тарифы!$AB$2:$AB$55,$C$4)-4,1,1,1)&gt;=30%),"",OFFSET(тарифы!$AB$1,MATCH($C$4,тарифы!$AB$2:$AB$55,0)+COUNTIF(тарифы!$AB$2:$AB$55,$C$4)-4,1,1,1))</f>
        <v>0.19</v>
      </c>
      <c r="E18" s="20">
        <f t="shared" ca="1" si="1"/>
        <v>1900000</v>
      </c>
      <c r="F18" s="21">
        <f ca="1">IFERROR($F$20+IFERROR(OFFSET(тарифы!$AB$1,MATCH(D18,OFFSET(тарифы!$AB$1,MATCH($C$4,тарифы!$AB$2:$AB$55,0),1,COUNTIF(тарифы!$AB$2:$AB$55,$C$4),1),0)-1+MATCH($C$4,тарифы!$AB$2:$AB$55,0),2,1,1),"выберите " &amp; CHAR(10) &amp; "корректную ставку"),"")</f>
        <v>0.1575</v>
      </c>
      <c r="G18" s="102">
        <f t="shared" ca="1" si="2"/>
        <v>132461.71021355776</v>
      </c>
      <c r="H18" s="20">
        <f t="shared" ca="1" si="0"/>
        <v>14249114.320336051</v>
      </c>
    </row>
    <row r="19" spans="2:9" ht="18" customHeight="1" x14ac:dyDescent="0.15">
      <c r="B19" s="538"/>
      <c r="C19" s="538"/>
      <c r="D19" s="101">
        <f ca="1">IF(AND(OFFSET(тарифы!$AB$1,MATCH($C$4,тарифы!$AB$2:$AB$55,0)+COUNTIF(тарифы!$AB$2:$AB$55,$C$4)-5,1,1,1)&gt;=30%),"",OFFSET(тарифы!$AB$1,MATCH($C$4,тарифы!$AB$2:$AB$55,0)+COUNTIF(тарифы!$AB$2:$AB$55,$C$4)-5,1,1,1))</f>
        <v>0.17499999999999999</v>
      </c>
      <c r="E19" s="20">
        <f t="shared" ca="1" si="1"/>
        <v>1750000</v>
      </c>
      <c r="F19" s="21">
        <f ca="1">IFERROR($F$20+IFERROR(OFFSET(тарифы!$AB$1,MATCH(D19,OFFSET(тарифы!$AB$1,MATCH($C$4,тарифы!$AB$2:$AB$55,0),1,COUNTIF(тарифы!$AB$2:$AB$55,$C$4),1),0)-1+MATCH($C$4,тарифы!$AB$2:$AB$55,0),2,1,1),"выберите " &amp; CHAR(10) &amp; "корректную ставку"),"")</f>
        <v>0.16489999999999999</v>
      </c>
      <c r="G19" s="102">
        <f ca="1">IFERROR(-PMT(F19/12,$C$15,($B$15+IF($C$6,E19,0)),,0),"")</f>
        <v>138433.88794088736</v>
      </c>
      <c r="H19" s="20">
        <f t="shared" ca="1" si="0"/>
        <v>12249130.338497393</v>
      </c>
    </row>
    <row r="20" spans="2:9" ht="18" customHeight="1" x14ac:dyDescent="0.15">
      <c r="B20" s="539"/>
      <c r="C20" s="539"/>
      <c r="D20" s="101">
        <f ca="1">OFFSET(тарифы!$AB$1,MATCH($C$4,тарифы!$AB$2:$AB$55,0)+COUNTIF(тарифы!$AB$2:$AB$55,$C$4)-6,1,1,1)</f>
        <v>0</v>
      </c>
      <c r="E20" s="20">
        <f ca="1">IF($C$6,($B$15)/(1-D20)-($B$15),$B$15*D20)</f>
        <v>0</v>
      </c>
      <c r="F20" s="21">
        <f ca="1">INDEX(тарифы!$A$2:$P$1502,A11+A12+1-2,6)+IF($C$7,0,INDEX(тарифы!$A$2:$P$1502,A11+A12+1-2,7))+IF($C$9,INDEX(тарифы!$A$2:$P$15002,A11+A12+1-2,8),0)+OFFSET(тарифы!$A$1,A11+A12+A13-2,8,A14,1)+IF($C$11,INDEX(тарифы!$A$2:$P$15002,A11+A12+1-2,14),0)+IF(AND($C$11,NOT($C$7)),INDEX(тарифы!$A$2:$P$15002,A11+A12+1-2,15),0)+IF($C$10,INDEX(тарифы!$A$2:$P$15002,A11+A12+1-2,16),0)+
VLOOKUP(C8,тарифы!AW2:AX3,2,FALSE)</f>
        <v>0.21240000000000001</v>
      </c>
      <c r="G20" s="102">
        <f ca="1">-PMT(F20/12,$C$15,($B$15+IF($C$6,E20,0)),,0)</f>
        <v>177320.36110338013</v>
      </c>
      <c r="H20" s="20">
        <f t="shared" ca="1" si="0"/>
        <v>0</v>
      </c>
    </row>
    <row r="21" spans="2:9" x14ac:dyDescent="0.15">
      <c r="B21" s="172" t="str">
        <f ca="1">IFERROR(IF(B15&gt;OFFSET(тарифы!$A$1,A11+A12+A13-2,10,A14,1),CONCATENATE("Макc сумма ",TEXT(OFFSET(тарифы!$A$1,A11+A12+A13-2,10,A14,1)/1000000,"0")," млн"),IF(B15&lt;OFFSET(тарифы!$A$1,A11+A12+A13-2,11,A14,1),CONCATENATE("Мин сумма ",TEXT(OFFSET(тарифы!$A$1,A11+A12+A13-2,11,A14,1)/1000,"0")," тыс"),"")),"Неверный тип залога")</f>
        <v/>
      </c>
      <c r="C21" s="172" t="str">
        <f ca="1">IFERROR(IF(C15/12&lt;OFFSET(тарифы!$A$1,A11+A12+A13-2,12,A14,1),CONCATENATE("Мин срок от ",TEXT(OFFSET(тарифы!$A$1,A11+A12+A13-2,12,A14,1),"0")," лет"),""),"Ошибка")</f>
        <v/>
      </c>
      <c r="I21" s="178"/>
    </row>
    <row r="22" spans="2:9" x14ac:dyDescent="0.15">
      <c r="B22" s="158"/>
      <c r="C22" s="158"/>
      <c r="E22" s="178"/>
      <c r="F22" s="178"/>
      <c r="G22" s="178"/>
      <c r="H22" s="178"/>
      <c r="I22" s="178"/>
    </row>
    <row r="23" spans="2:9" x14ac:dyDescent="0.15">
      <c r="B23" s="158"/>
      <c r="C23" s="158"/>
      <c r="F23" s="178"/>
      <c r="G23" s="178"/>
      <c r="H23" s="178"/>
      <c r="I23" s="178"/>
    </row>
    <row r="24" spans="2:9" x14ac:dyDescent="0.15">
      <c r="B24" s="158"/>
      <c r="C24" s="158"/>
      <c r="F24" s="178"/>
      <c r="G24" s="178"/>
      <c r="I24" s="178"/>
    </row>
    <row r="25" spans="2:9" x14ac:dyDescent="0.15">
      <c r="B25" s="158"/>
      <c r="C25" s="158"/>
      <c r="I25" s="178"/>
    </row>
    <row r="26" spans="2:9" x14ac:dyDescent="0.15">
      <c r="B26" s="158"/>
      <c r="C26" s="158"/>
    </row>
    <row r="27" spans="2:9" x14ac:dyDescent="0.15">
      <c r="B27" s="158"/>
      <c r="C27" s="158"/>
    </row>
    <row r="28" spans="2:9" x14ac:dyDescent="0.15">
      <c r="B28" s="158"/>
      <c r="C28" s="158"/>
    </row>
    <row r="29" spans="2:9" x14ac:dyDescent="0.15">
      <c r="B29" s="158"/>
      <c r="C29" s="158"/>
    </row>
    <row r="30" spans="2:9" x14ac:dyDescent="0.15">
      <c r="B30" s="158"/>
      <c r="C30" s="158"/>
    </row>
    <row r="31" spans="2:9" x14ac:dyDescent="0.15">
      <c r="B31" s="158"/>
      <c r="C31" s="158"/>
    </row>
    <row r="32" spans="2:9" x14ac:dyDescent="0.15">
      <c r="B32" s="158"/>
      <c r="C32" s="158"/>
    </row>
    <row r="33" spans="2:3" x14ac:dyDescent="0.15">
      <c r="B33" s="158"/>
      <c r="C33" s="158"/>
    </row>
  </sheetData>
  <sheetProtection algorithmName="SHA-512" hashValue="Vs7I0fAy7nCIp32wH48olQ0wmyGnWsIm5kYwW3emyZMXXE/go2Mz5INZxZkef2xM/9xalpCwE/5acbg0E3GdZg==" saltValue="yq28kmtfAtXI1XqybG5Wiw==" spinCount="100000" sheet="1" objects="1" scenarios="1"/>
  <protectedRanges>
    <protectedRange sqref="B15:C20" name="Диапазон2"/>
    <protectedRange sqref="C4:C11" name="Диапазон1"/>
  </protectedRanges>
  <mergeCells count="9">
    <mergeCell ref="B15:B20"/>
    <mergeCell ref="C15:C20"/>
    <mergeCell ref="C4:D4"/>
    <mergeCell ref="C5:D5"/>
    <mergeCell ref="C6:D6"/>
    <mergeCell ref="C7:D7"/>
    <mergeCell ref="C10:D10"/>
    <mergeCell ref="C11:D11"/>
    <mergeCell ref="C8:D8"/>
  </mergeCells>
  <conditionalFormatting sqref="D15:H15">
    <cfRule type="expression" dxfId="19" priority="11">
      <formula>AND($D15=0%,$E15=0,$H15=0)</formula>
    </cfRule>
  </conditionalFormatting>
  <conditionalFormatting sqref="B7:D7 B8:C8">
    <cfRule type="expression" dxfId="18" priority="4">
      <formula>$I$4=TRUE</formula>
    </cfRule>
  </conditionalFormatting>
  <conditionalFormatting sqref="B10:D10">
    <cfRule type="expression" dxfId="17" priority="3">
      <formula>$I$4=TRUE</formula>
    </cfRule>
  </conditionalFormatting>
  <conditionalFormatting sqref="B8:D8">
    <cfRule type="expression" dxfId="16" priority="2">
      <formula>$I$4</formula>
    </cfRule>
  </conditionalFormatting>
  <conditionalFormatting sqref="D16:H19">
    <cfRule type="expression" dxfId="15" priority="1">
      <formula>AND($D16=0%,$E16=0,$H16=0)</formula>
    </cfRule>
  </conditionalFormatting>
  <dataValidations count="1">
    <dataValidation type="list" allowBlank="1" showInputMessage="1" showErrorMessage="1" sqref="C4:D4">
      <formula1>"Новостройка,Вторичка,Рефинансирование"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locked="0" defaultSize="0" autoFill="0" autoLine="0" autoPict="0">
                <anchor moveWithCells="1">
                  <from>
                    <xdr:col>2</xdr:col>
                    <xdr:colOff>1123950</xdr:colOff>
                    <xdr:row>6</xdr:row>
                    <xdr:rowOff>9525</xdr:rowOff>
                  </from>
                  <to>
                    <xdr:col>3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" name="Check Box 23">
              <controlPr defaultSize="0" autoFill="0" autoLine="0" autoPict="0">
                <anchor moveWithCells="1">
                  <from>
                    <xdr:col>2</xdr:col>
                    <xdr:colOff>1123950</xdr:colOff>
                    <xdr:row>5</xdr:row>
                    <xdr:rowOff>19050</xdr:rowOff>
                  </from>
                  <to>
                    <xdr:col>3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6" name="Check Box 31">
              <controlPr locked="0" defaultSize="0" autoFill="0" autoLine="0" autoPict="0" altText="_x000a_">
                <anchor moveWithCells="1">
                  <from>
                    <xdr:col>0</xdr:col>
                    <xdr:colOff>19050</xdr:colOff>
                    <xdr:row>7</xdr:row>
                    <xdr:rowOff>152400</xdr:rowOff>
                  </from>
                  <to>
                    <xdr:col>0</xdr:col>
                    <xdr:colOff>66675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7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9525</xdr:rowOff>
                  </from>
                  <to>
                    <xdr:col>0</xdr:col>
                    <xdr:colOff>76200</xdr:colOff>
                    <xdr:row>10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OFFSET(тарифы!$R$1,MATCH($C$4,тарифы!$R$2:$R$18,0),1,COUNTIF(тарифы!$R$2:$R$18,$C$4),1)</xm:f>
          </x14:formula1>
          <xm:sqref>C5</xm:sqref>
        </x14:dataValidation>
        <x14:dataValidation type="list" allowBlank="1" showInputMessage="1" showErrorMessage="1">
          <x14:formula1>
            <xm:f>тарифы!$AW$2:$AW$3</xm:f>
          </x14:formula1>
          <xm:sqref>C8:D8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AC40"/>
  <sheetViews>
    <sheetView showGridLines="0" zoomScale="85" zoomScaleNormal="85" workbookViewId="0">
      <selection activeCell="M41" sqref="M41"/>
    </sheetView>
  </sheetViews>
  <sheetFormatPr defaultRowHeight="15" x14ac:dyDescent="0.25"/>
  <cols>
    <col min="1" max="1" width="19.140625" style="103" bestFit="1" customWidth="1"/>
    <col min="2" max="2" width="45.5703125" style="83" customWidth="1"/>
    <col min="3" max="3" width="18.28515625" style="83" customWidth="1"/>
    <col min="4" max="4" width="14.5703125" style="103" customWidth="1"/>
    <col min="5" max="5" width="13.42578125" style="103" customWidth="1"/>
    <col min="6" max="6" width="13" style="103" customWidth="1"/>
    <col min="7" max="7" width="15.42578125" style="103" customWidth="1"/>
    <col min="8" max="8" width="14.85546875" style="103" customWidth="1"/>
    <col min="9" max="9" width="12.140625" style="103" customWidth="1"/>
    <col min="10" max="10" width="16.5703125" style="103" customWidth="1"/>
    <col min="11" max="11" width="11.28515625" style="103" customWidth="1"/>
    <col min="12" max="12" width="14" style="103" customWidth="1"/>
    <col min="13" max="13" width="12.140625" style="83" customWidth="1"/>
    <col min="14" max="14" width="13.7109375" style="83" customWidth="1"/>
    <col min="15" max="15" width="15.5703125" style="83" customWidth="1"/>
    <col min="16" max="16" width="19.42578125" style="83" customWidth="1"/>
    <col min="17" max="17" width="13.5703125" style="83" bestFit="1" customWidth="1"/>
    <col min="18" max="18" width="16.85546875" style="83" bestFit="1" customWidth="1"/>
    <col min="19" max="21" width="11.5703125" style="83" bestFit="1" customWidth="1"/>
    <col min="22" max="22" width="16.28515625" style="83" bestFit="1" customWidth="1"/>
    <col min="23" max="16384" width="9.140625" style="83"/>
  </cols>
  <sheetData>
    <row r="1" spans="1:29" ht="14.25" customHeight="1" x14ac:dyDescent="0.25">
      <c r="F1" s="15"/>
      <c r="G1" s="15"/>
      <c r="H1" s="15"/>
      <c r="I1" s="15"/>
      <c r="J1" s="15"/>
      <c r="K1" s="15"/>
      <c r="L1" s="15"/>
      <c r="M1" s="98"/>
      <c r="N1" s="98"/>
      <c r="O1" s="474"/>
      <c r="P1" s="98"/>
      <c r="Q1" s="446"/>
      <c r="R1" s="475"/>
      <c r="S1" s="476" t="s">
        <v>203</v>
      </c>
      <c r="T1" s="476"/>
      <c r="U1" s="477" t="s">
        <v>204</v>
      </c>
      <c r="V1" s="478"/>
      <c r="W1" s="98"/>
      <c r="X1" s="98"/>
      <c r="Y1" s="98"/>
      <c r="Z1" s="249"/>
      <c r="AA1" s="249"/>
      <c r="AB1" s="98"/>
      <c r="AC1" s="98"/>
    </row>
    <row r="2" spans="1:29" ht="21" x14ac:dyDescent="0.25">
      <c r="B2" s="237" t="s">
        <v>157</v>
      </c>
      <c r="F2" s="15"/>
      <c r="G2" s="15"/>
      <c r="H2" s="15"/>
      <c r="I2" s="33" t="s">
        <v>110</v>
      </c>
      <c r="J2" s="479" t="b">
        <f>IF(C10="полный срок",TRUE,FALSE)</f>
        <v>1</v>
      </c>
      <c r="K2" s="15"/>
      <c r="L2" s="15"/>
      <c r="M2" s="480" t="s">
        <v>173</v>
      </c>
      <c r="N2" s="481" t="str">
        <f>IF(J3,C4&amp;"_","рын_")&amp;C11&amp;IF((C7/C6)&gt;=0.2,"_ПВ20","_ПВ15")</f>
        <v>Семейная ипотека_без отсрочки_ПВ20</v>
      </c>
      <c r="O2" s="474"/>
      <c r="P2" s="98"/>
      <c r="Q2" s="475"/>
      <c r="R2" s="482"/>
      <c r="S2" s="483" t="s">
        <v>202</v>
      </c>
      <c r="T2" s="483" t="s">
        <v>207</v>
      </c>
      <c r="U2" s="483" t="s">
        <v>202</v>
      </c>
      <c r="V2" s="483" t="s">
        <v>119</v>
      </c>
      <c r="W2" s="98"/>
      <c r="X2" s="98"/>
      <c r="Y2" s="98"/>
      <c r="Z2" s="249"/>
      <c r="AA2" s="249"/>
      <c r="AB2" s="98"/>
      <c r="AC2" s="98"/>
    </row>
    <row r="3" spans="1:29" ht="13.5" customHeight="1" x14ac:dyDescent="0.25">
      <c r="F3" s="15"/>
      <c r="G3" s="15"/>
      <c r="H3" s="15"/>
      <c r="I3" s="33" t="s">
        <v>111</v>
      </c>
      <c r="J3" s="479" t="str">
        <f>IF(OR(C4="Новостройка с господдержкой 2020",C4="Семейная ипотека",C4="Семейная ипотека ДФО",C4="Ипотека для IT-специалистов"),"ИСТИНА","ЛОЖЬ")</f>
        <v>ИСТИНА</v>
      </c>
      <c r="K3" s="15"/>
      <c r="L3" s="15"/>
      <c r="M3" s="484" t="s">
        <v>184</v>
      </c>
      <c r="N3" s="485">
        <f>MATCH(CONCATENATE($C$4,C10),данные!$C:$C,0)</f>
        <v>5</v>
      </c>
      <c r="O3" s="474"/>
      <c r="P3" s="98"/>
      <c r="Q3" s="482"/>
      <c r="R3" s="486" t="s">
        <v>214</v>
      </c>
      <c r="S3" s="487">
        <v>12000000</v>
      </c>
      <c r="T3" s="487">
        <v>6000000</v>
      </c>
      <c r="U3" s="488">
        <v>18000000</v>
      </c>
      <c r="V3" s="489">
        <v>9000000</v>
      </c>
      <c r="W3" s="98"/>
      <c r="X3" s="98"/>
      <c r="Y3" s="98"/>
      <c r="Z3" s="249"/>
      <c r="AA3" s="249"/>
      <c r="AB3" s="98"/>
      <c r="AC3" s="98"/>
    </row>
    <row r="4" spans="1:29" ht="15" customHeight="1" x14ac:dyDescent="0.25">
      <c r="B4" s="234" t="s">
        <v>25</v>
      </c>
      <c r="C4" s="550" t="s">
        <v>10</v>
      </c>
      <c r="D4" s="550"/>
      <c r="E4" s="33"/>
      <c r="F4" s="15"/>
      <c r="G4" s="15"/>
      <c r="H4" s="15"/>
      <c r="I4" s="33" t="s">
        <v>112</v>
      </c>
      <c r="J4" s="490">
        <f ca="1">INDEX(данные!$E$1:$BB$7,$N$3,N7)/100</f>
        <v>8.8999999999999999E-3</v>
      </c>
      <c r="K4" s="15"/>
      <c r="L4" s="15"/>
      <c r="M4" s="471" t="s">
        <v>185</v>
      </c>
      <c r="N4" s="472">
        <f ca="1">MATCH(0,OFFSET(данные!$A$1,N3-1,1,1,100),1)+1</f>
        <v>5</v>
      </c>
      <c r="O4" s="474"/>
      <c r="P4" s="98"/>
      <c r="Q4" s="475"/>
      <c r="R4" s="486" t="s">
        <v>205</v>
      </c>
      <c r="S4" s="487" t="b">
        <f>IF(G4="Семейная ипотека",IF(OR(G12="Мск",G12="МО",G12="Спб",G12="ЛО"),S3,T3),
IF(G4="ИТ-ипотека",IF(OR(G12="Мск",G12="МО",G12="Спб",G12="ЛО"),U3,V3)))</f>
        <v>0</v>
      </c>
      <c r="T4" s="475"/>
      <c r="U4" s="475"/>
      <c r="V4" s="478"/>
      <c r="W4" s="98"/>
      <c r="X4" s="98"/>
      <c r="Y4" s="98"/>
      <c r="Z4" s="249"/>
      <c r="AA4" s="249"/>
      <c r="AB4" s="98"/>
      <c r="AC4" s="98"/>
    </row>
    <row r="5" spans="1:29" ht="15" customHeight="1" x14ac:dyDescent="0.25">
      <c r="B5" s="235" t="s">
        <v>9</v>
      </c>
      <c r="C5" s="546" t="s">
        <v>14</v>
      </c>
      <c r="D5" s="546"/>
      <c r="E5" s="33"/>
      <c r="F5" s="15"/>
      <c r="G5" s="116" t="str">
        <f ca="1">IF(ISERROR(INDEX(тарифы!$A$2:$P$1502,K14+K15+MATCH(I16,OFFSET(тарифы!$A$1,K14+K15-1,3,K17,1),-1)-2,6)+IF($C$16,INDEX(тарифы!$A$2:$P$1502,K14+K15+MATCH(I16,OFFSET(тарифы!$A$1,K14+K15-1,3,K17,1),-1)-2,7),0)+IF($C$17,INDEX(тарифы!$A$2:$P$1502,K14+K15+MATCH(I16,OFFSET(тарифы!$A$1,K14+K15-1,3,K17,1),-1)-2,8),0)),"выберите корректный тип залога","")</f>
        <v/>
      </c>
      <c r="H5" s="15"/>
      <c r="I5" s="33" t="s">
        <v>113</v>
      </c>
      <c r="J5" s="490">
        <f ca="1">INDEX(тарифы!$A$2:$P$1502,K14+K15+MATCH(D46,OFFSET(тарифы!$A$1,K14+K15-1,3,K17,1),-1)-2,6)+IF(AND(J3,C10="полный срок"),$J$6,IF($C$16,0,INDEX(тарифы!$A$2:$P$1502,K14+K15+MATCH(D46,OFFSET(тарифы!$A$1,K14+K15-1,3,K17,1),-1)-2,7)))+IF($C$17,INDEX(тарифы!$A$2:$P$15002,K14+K15+MATCH(D46,OFFSET(тарифы!$A$1,K14+K15-1,3,K17,1),-1)-2,8),0)+OFFSET(тарифы!$A$1,K14+K15+K16-2,8,K17,1)</f>
        <v>5.8900000000000001E-2</v>
      </c>
      <c r="K5" s="15"/>
      <c r="L5" s="15"/>
      <c r="M5" s="471" t="s">
        <v>186</v>
      </c>
      <c r="N5" s="464">
        <f ca="1">COUNTIF(OFFSET(данные!$C$1,$N$3-1,2,1,100),"&gt;0")</f>
        <v>11</v>
      </c>
      <c r="O5" s="474"/>
      <c r="P5" s="98"/>
      <c r="Q5" s="475"/>
      <c r="R5" s="168"/>
      <c r="S5" s="168"/>
      <c r="T5" s="168"/>
      <c r="U5" s="168"/>
      <c r="V5" s="168"/>
      <c r="W5" s="98"/>
      <c r="X5" s="98"/>
      <c r="Y5" s="98"/>
      <c r="Z5" s="249"/>
      <c r="AA5" s="249"/>
      <c r="AB5" s="98"/>
      <c r="AC5" s="98"/>
    </row>
    <row r="6" spans="1:29" ht="15" customHeight="1" x14ac:dyDescent="0.25">
      <c r="B6" s="235" t="s">
        <v>13</v>
      </c>
      <c r="C6" s="551">
        <v>17000000</v>
      </c>
      <c r="D6" s="551"/>
      <c r="E6" s="33"/>
      <c r="F6" s="15"/>
      <c r="G6" s="99" t="str">
        <f ca="1">IFERROR(IF(C6*(1-C8)&gt;OFFSET(тарифы!$A$1,K14+K15+K16-2,10,K17,1),CONCATENATE("Макc сумма ",TEXT(OFFSET(тарифы!$A$1,K14+K15+K16-2,10,K17,1)/1000000,"0")," млн"),IF(C6*(1-C8)&lt;OFFSET(тарифы!$A$1,K14+K15+K16-2,11,K17,1),CONCATENATE("Мин сумма ",TEXT(OFFSET(тарифы!$A$1,K14+K15+K16-2,11,K17,1)/1000,"0")," тыс"),"")),"Неверный тип залога")</f>
        <v/>
      </c>
      <c r="H6" s="15"/>
      <c r="I6" s="33" t="s">
        <v>115</v>
      </c>
      <c r="J6" s="491">
        <v>-1E-3</v>
      </c>
      <c r="K6" s="15"/>
      <c r="L6" s="492"/>
      <c r="M6" s="471" t="s">
        <v>187</v>
      </c>
      <c r="N6" s="493">
        <f>MATCH(N2,данные!$A$1:$A$59,0)</f>
        <v>10</v>
      </c>
      <c r="O6" s="474"/>
      <c r="P6" s="98"/>
      <c r="Q6" s="475"/>
      <c r="R6" s="476" t="s">
        <v>192</v>
      </c>
      <c r="S6" s="494">
        <v>0.3</v>
      </c>
      <c r="T6" s="495">
        <v>0.34989999999999999</v>
      </c>
      <c r="U6" s="496"/>
      <c r="V6" s="496"/>
      <c r="W6" s="98"/>
      <c r="X6" s="98"/>
      <c r="Y6" s="98"/>
      <c r="Z6" s="249"/>
      <c r="AA6" s="249"/>
      <c r="AB6" s="98"/>
      <c r="AC6" s="98"/>
    </row>
    <row r="7" spans="1:29" ht="15" customHeight="1" x14ac:dyDescent="0.25">
      <c r="B7" s="235" t="s">
        <v>133</v>
      </c>
      <c r="C7" s="551">
        <v>6000000</v>
      </c>
      <c r="D7" s="551"/>
      <c r="E7" s="105" t="str">
        <f>IF(C8&lt;S6,"min ПВ от " &amp; TEXT(C6*S6,"# ###")&amp; " руб.","")</f>
        <v/>
      </c>
      <c r="F7" s="15"/>
      <c r="G7" s="99"/>
      <c r="H7" s="15"/>
      <c r="I7" s="497" t="s">
        <v>47</v>
      </c>
      <c r="J7" s="491">
        <f ca="1">IF($C$10="полный срок",$C$13,$C$14)</f>
        <v>8.8999999999999999E-3</v>
      </c>
      <c r="K7" s="15"/>
      <c r="L7" s="498"/>
      <c r="M7" s="470" t="s">
        <v>190</v>
      </c>
      <c r="N7" s="499">
        <f t="array" aca="1" ref="N7" ca="1">MATCH(C12,INDIRECT("данные!E"&amp;N6):INDIRECT("данные!BB"&amp;N6),0)</f>
        <v>2</v>
      </c>
      <c r="O7" s="474"/>
      <c r="P7" s="98"/>
      <c r="Q7" s="500"/>
      <c r="R7" s="486" t="s">
        <v>216</v>
      </c>
      <c r="S7" s="487">
        <v>20000000</v>
      </c>
      <c r="T7" s="487">
        <v>10000000</v>
      </c>
      <c r="U7" s="501"/>
      <c r="V7" s="496"/>
      <c r="W7" s="98"/>
      <c r="X7" s="98"/>
      <c r="Y7" s="98"/>
      <c r="Z7" s="249"/>
      <c r="AA7" s="249"/>
      <c r="AB7" s="98"/>
      <c r="AC7" s="98"/>
    </row>
    <row r="8" spans="1:29" ht="15" customHeight="1" x14ac:dyDescent="0.25">
      <c r="B8" s="235" t="s">
        <v>50</v>
      </c>
      <c r="C8" s="552">
        <f>C7/C6</f>
        <v>0.35294117647058826</v>
      </c>
      <c r="D8" s="552"/>
      <c r="E8" s="105" t="str">
        <f>IF(C8&lt;S6,"ПВ должен быть от "&amp; TEXT(S6,"0,00%"),"")</f>
        <v/>
      </c>
      <c r="F8" s="15"/>
      <c r="G8" s="15"/>
      <c r="H8" s="15"/>
      <c r="I8" s="15"/>
      <c r="J8" s="15"/>
      <c r="K8" s="15"/>
      <c r="L8" s="492"/>
      <c r="M8" s="502"/>
      <c r="N8" s="15"/>
      <c r="O8" s="98"/>
      <c r="P8" s="98"/>
      <c r="Q8" s="500"/>
      <c r="R8" s="476" t="s">
        <v>217</v>
      </c>
      <c r="S8" s="503">
        <f>IF(G12="другие регионы",T7,S7)</f>
        <v>20000000</v>
      </c>
      <c r="T8" s="475"/>
      <c r="U8" s="501"/>
      <c r="V8" s="496"/>
      <c r="W8" s="98"/>
      <c r="X8" s="98"/>
      <c r="Y8" s="98"/>
      <c r="Z8" s="249"/>
      <c r="AA8" s="249"/>
      <c r="AB8" s="98"/>
      <c r="AC8" s="98"/>
    </row>
    <row r="9" spans="1:29" ht="15" customHeight="1" x14ac:dyDescent="0.25">
      <c r="B9" s="235" t="s">
        <v>41</v>
      </c>
      <c r="C9" s="551">
        <v>360</v>
      </c>
      <c r="D9" s="551"/>
      <c r="E9" s="106" t="str">
        <f ca="1">IFERROR(IF(C9/12&lt;OFFSET(тарифы!$A$1,K14+K15+K16-2,12,K17,1),CONCATENATE("Мин срок от ",TEXT(OFFSET(тарифы!$A$1,K14+K15+K16-2,12,K17,1),"0")," лет"),""),"Ошибка")</f>
        <v/>
      </c>
      <c r="F9" s="15"/>
      <c r="G9" s="100"/>
      <c r="H9" s="100"/>
      <c r="I9" s="15"/>
      <c r="J9" s="15"/>
      <c r="K9" s="15"/>
      <c r="L9" s="492"/>
      <c r="M9" s="492"/>
      <c r="N9" s="15"/>
      <c r="O9" s="98"/>
      <c r="P9" s="98"/>
      <c r="Q9" s="500"/>
      <c r="R9" s="486" t="s">
        <v>215</v>
      </c>
      <c r="S9" s="487">
        <v>17500000</v>
      </c>
      <c r="T9" s="487">
        <v>9000000</v>
      </c>
      <c r="U9" s="501"/>
      <c r="V9" s="496"/>
      <c r="W9" s="98"/>
      <c r="X9" s="98"/>
      <c r="Y9" s="98"/>
      <c r="Z9" s="249"/>
      <c r="AA9" s="249"/>
      <c r="AB9" s="98"/>
      <c r="AC9" s="98"/>
    </row>
    <row r="10" spans="1:29" ht="15" customHeight="1" x14ac:dyDescent="0.25">
      <c r="B10" s="235" t="s">
        <v>44</v>
      </c>
      <c r="C10" s="545" t="s">
        <v>4</v>
      </c>
      <c r="D10" s="545"/>
      <c r="E10" s="106"/>
      <c r="F10" s="15"/>
      <c r="G10" s="15"/>
      <c r="H10" s="15"/>
      <c r="I10" s="15"/>
      <c r="J10" s="15"/>
      <c r="K10" s="479">
        <f ca="1">MATCH($C$11,OFFSET(данные!$A$67,1,0,1000,1),0)</f>
        <v>2</v>
      </c>
      <c r="L10" s="492"/>
      <c r="M10" s="492"/>
      <c r="N10" s="15"/>
      <c r="O10" s="98"/>
      <c r="P10" s="98"/>
      <c r="Q10" s="504"/>
      <c r="R10" s="476" t="s">
        <v>218</v>
      </c>
      <c r="S10" s="503">
        <f>IF(G12="другие регионы",T9,S9)</f>
        <v>17500000</v>
      </c>
      <c r="T10" s="504"/>
      <c r="U10" s="504"/>
      <c r="V10" s="496"/>
      <c r="W10" s="98"/>
      <c r="X10" s="98"/>
      <c r="Y10" s="98"/>
      <c r="Z10" s="249"/>
      <c r="AA10" s="249"/>
      <c r="AB10" s="98"/>
      <c r="AC10" s="98"/>
    </row>
    <row r="11" spans="1:29" ht="15" customHeight="1" x14ac:dyDescent="0.25">
      <c r="B11" s="235" t="s">
        <v>45</v>
      </c>
      <c r="C11" s="546" t="s">
        <v>3</v>
      </c>
      <c r="D11" s="546"/>
      <c r="E11" s="106"/>
      <c r="F11" s="15"/>
      <c r="G11" s="15"/>
      <c r="H11" s="15"/>
      <c r="I11" s="15"/>
      <c r="J11" s="15"/>
      <c r="K11" s="505">
        <f>MATCH(CONCATENATE($C$4,$C$10),данные!$C:$C,0)</f>
        <v>5</v>
      </c>
      <c r="L11" s="492"/>
      <c r="M11" s="492"/>
      <c r="N11" s="24"/>
      <c r="O11" s="98"/>
      <c r="P11" s="15"/>
      <c r="Q11" s="506"/>
      <c r="R11" s="506"/>
      <c r="S11" s="506"/>
      <c r="T11" s="506"/>
      <c r="U11" s="506"/>
      <c r="V11" s="507"/>
      <c r="W11" s="98"/>
      <c r="X11" s="98"/>
      <c r="Y11" s="98"/>
      <c r="Z11" s="249"/>
      <c r="AA11" s="249"/>
      <c r="AB11" s="98"/>
      <c r="AC11" s="98"/>
    </row>
    <row r="12" spans="1:29" ht="15" customHeight="1" x14ac:dyDescent="0.25">
      <c r="B12" s="235" t="s">
        <v>46</v>
      </c>
      <c r="C12" s="547">
        <v>0.16949999999999998</v>
      </c>
      <c r="D12" s="547"/>
      <c r="E12" s="139" t="str">
        <f ca="1">IF($C$10&lt;&gt;"полный срок","Введите вручную",
IF(C13=0,"Выберите размер субсидии",""))</f>
        <v/>
      </c>
      <c r="F12" s="27"/>
      <c r="G12" s="15"/>
      <c r="H12" s="15"/>
      <c r="I12" s="15"/>
      <c r="J12" s="15"/>
      <c r="K12" s="474">
        <f ca="1">MATCH(0,OFFSET(данные!$C$1,$K$11-1,2,1,90),1)</f>
        <v>1</v>
      </c>
      <c r="L12" s="492"/>
      <c r="M12" s="492"/>
      <c r="N12" s="24"/>
      <c r="O12" s="98"/>
      <c r="P12" s="15"/>
      <c r="Q12" s="507"/>
      <c r="R12" s="476" t="s">
        <v>192</v>
      </c>
      <c r="S12" s="494">
        <v>0.35</v>
      </c>
      <c r="T12" s="495">
        <v>39.99</v>
      </c>
      <c r="U12" s="168"/>
      <c r="V12" s="508"/>
      <c r="W12" s="98"/>
      <c r="X12" s="98"/>
      <c r="Y12" s="98"/>
      <c r="Z12" s="249"/>
      <c r="AA12" s="249"/>
      <c r="AB12" s="98"/>
      <c r="AC12" s="98"/>
    </row>
    <row r="13" spans="1:29" s="84" customFormat="1" ht="15" customHeight="1" x14ac:dyDescent="0.25">
      <c r="A13" s="189"/>
      <c r="B13" s="235" t="s">
        <v>47</v>
      </c>
      <c r="C13" s="549">
        <f ca="1">IFERROR(IF(C10="полный срок",IF(J4&gt;J5-0.01%,J5-0.01%,J4),"введите размер дисконта"),"Выберите субсидию")</f>
        <v>8.8999999999999999E-3</v>
      </c>
      <c r="D13" s="549"/>
      <c r="F13" s="100"/>
      <c r="G13" s="336"/>
      <c r="H13" s="336"/>
      <c r="I13" s="470" t="s">
        <v>191</v>
      </c>
      <c r="J13" s="499">
        <f>N6+8</f>
        <v>18</v>
      </c>
      <c r="K13" s="505">
        <f ca="1">COUNTIF(OFFSET(данные!$C$1,$K$11-1,2,1,90),"&gt;0")</f>
        <v>11</v>
      </c>
      <c r="L13" s="492"/>
      <c r="M13" s="492"/>
      <c r="N13" s="100"/>
      <c r="O13" s="15"/>
      <c r="P13" s="15"/>
      <c r="Q13" s="507"/>
      <c r="R13" s="486" t="s">
        <v>216</v>
      </c>
      <c r="S13" s="487">
        <v>26000000</v>
      </c>
      <c r="T13" s="487">
        <v>13000000</v>
      </c>
      <c r="U13" s="496"/>
      <c r="V13" s="24"/>
      <c r="W13" s="336"/>
      <c r="X13" s="336"/>
      <c r="Y13" s="336"/>
      <c r="Z13" s="438"/>
      <c r="AA13" s="438"/>
      <c r="AB13" s="336"/>
      <c r="AC13" s="336"/>
    </row>
    <row r="14" spans="1:29" s="103" customFormat="1" ht="15" customHeight="1" x14ac:dyDescent="0.25">
      <c r="B14" s="235" t="s">
        <v>47</v>
      </c>
      <c r="C14" s="547">
        <v>0.01</v>
      </c>
      <c r="D14" s="547"/>
      <c r="E14" s="107" t="s">
        <v>118</v>
      </c>
      <c r="F14" s="16"/>
      <c r="G14" s="15"/>
      <c r="H14" s="15"/>
      <c r="I14" s="15"/>
      <c r="J14" s="15"/>
      <c r="K14" s="479">
        <f>MATCH($C$4,тарифы!$A$2:$A$1502,0)</f>
        <v>9</v>
      </c>
      <c r="L14" s="492"/>
      <c r="M14" s="492"/>
      <c r="N14" s="15"/>
      <c r="O14" s="15"/>
      <c r="P14" s="15"/>
      <c r="Q14" s="507"/>
      <c r="R14" s="476" t="s">
        <v>217</v>
      </c>
      <c r="S14" s="503">
        <f>IF(G12="другие регионы",T13,S13)</f>
        <v>26000000</v>
      </c>
      <c r="T14" s="475"/>
      <c r="U14" s="507"/>
      <c r="V14" s="24"/>
      <c r="W14" s="15"/>
      <c r="X14" s="15"/>
      <c r="Y14" s="15"/>
      <c r="Z14" s="27"/>
      <c r="AA14" s="27"/>
      <c r="AB14" s="15"/>
      <c r="AC14" s="15"/>
    </row>
    <row r="15" spans="1:29" s="103" customFormat="1" ht="15" customHeight="1" x14ac:dyDescent="0.25">
      <c r="B15" s="236" t="s">
        <v>54</v>
      </c>
      <c r="C15" s="548" t="s">
        <v>119</v>
      </c>
      <c r="D15" s="548"/>
      <c r="E15" s="33"/>
      <c r="F15" s="27"/>
      <c r="G15" s="15"/>
      <c r="H15" s="15"/>
      <c r="I15" s="15"/>
      <c r="J15" s="15"/>
      <c r="K15" s="479">
        <f ca="1">MATCH(C5,OFFSET(тарифы!$A$1,K14,1,COUNTIF(тарифы!$A$2:$A$1502,C4),1),0)</f>
        <v>1</v>
      </c>
      <c r="L15" s="492"/>
      <c r="M15" s="492"/>
      <c r="N15" s="15"/>
      <c r="O15" s="15"/>
      <c r="P15" s="15"/>
      <c r="Q15" s="507"/>
      <c r="R15" s="486" t="s">
        <v>215</v>
      </c>
      <c r="S15" s="487">
        <v>17500000</v>
      </c>
      <c r="T15" s="487">
        <v>9000000</v>
      </c>
      <c r="U15" s="507"/>
      <c r="V15" s="24"/>
      <c r="W15" s="15"/>
      <c r="X15" s="15"/>
      <c r="Y15" s="15"/>
      <c r="Z15" s="27"/>
      <c r="AA15" s="27"/>
      <c r="AB15" s="15"/>
      <c r="AC15" s="15"/>
    </row>
    <row r="16" spans="1:29" s="27" customFormat="1" ht="15" customHeight="1" x14ac:dyDescent="0.25">
      <c r="B16" s="15" t="s">
        <v>52</v>
      </c>
      <c r="C16" s="132" t="b">
        <v>0</v>
      </c>
      <c r="D16" s="132"/>
      <c r="E16" s="15"/>
      <c r="G16" s="15"/>
      <c r="H16" s="15"/>
      <c r="I16" s="509"/>
      <c r="J16" s="15"/>
      <c r="K16" s="479">
        <f ca="1">MATCH(C17,OFFSET(тарифы!$A$1,K14,7,COUNTIF(тарифы!$A$2:$A$502,C4),1),0)</f>
        <v>1</v>
      </c>
      <c r="L16" s="492"/>
      <c r="M16" s="492"/>
      <c r="N16" s="15"/>
      <c r="O16" s="15"/>
      <c r="P16" s="15"/>
      <c r="Q16" s="24"/>
      <c r="R16" s="476" t="s">
        <v>218</v>
      </c>
      <c r="S16" s="503">
        <f>IF(G12="другие регионы",T15,S15)</f>
        <v>17500000</v>
      </c>
      <c r="T16" s="24"/>
      <c r="U16" s="24"/>
      <c r="V16" s="24"/>
      <c r="W16" s="15"/>
      <c r="X16" s="15"/>
      <c r="Y16" s="15"/>
      <c r="AB16" s="15"/>
      <c r="AC16" s="15"/>
    </row>
    <row r="17" spans="1:29" s="27" customFormat="1" ht="15" customHeight="1" x14ac:dyDescent="0.25">
      <c r="A17" s="104"/>
      <c r="B17" s="15" t="s">
        <v>32</v>
      </c>
      <c r="C17" s="151" t="b">
        <v>0</v>
      </c>
      <c r="D17" s="151"/>
      <c r="E17" s="15"/>
      <c r="G17" s="15"/>
      <c r="H17" s="15"/>
      <c r="I17" s="33" t="s">
        <v>132</v>
      </c>
      <c r="J17" s="479">
        <f ca="1">MATCH($C$4,OFFSET(данные!$A$67,K10,1,1000,1),0)</f>
        <v>7</v>
      </c>
      <c r="K17" s="479">
        <f>COUNTIFS(тарифы!$A:$A,C4,тарифы!B:B,C5,тарифы!H:H,C17)</f>
        <v>1</v>
      </c>
      <c r="L17" s="492"/>
      <c r="M17" s="492"/>
      <c r="N17" s="15"/>
      <c r="O17" s="15"/>
      <c r="P17" s="15"/>
      <c r="Q17" s="24"/>
      <c r="R17" s="24"/>
      <c r="S17" s="24"/>
      <c r="T17" s="24"/>
      <c r="U17" s="24"/>
      <c r="V17" s="24"/>
      <c r="W17" s="15"/>
      <c r="X17" s="15"/>
      <c r="Y17" s="15"/>
      <c r="AB17" s="15"/>
      <c r="AC17" s="15"/>
    </row>
    <row r="18" spans="1:29" s="27" customFormat="1" ht="15" customHeight="1" x14ac:dyDescent="0.25">
      <c r="A18" s="104"/>
      <c r="E18" s="15"/>
      <c r="G18" s="15"/>
      <c r="H18" s="15"/>
      <c r="I18" s="15"/>
      <c r="J18" s="15"/>
      <c r="K18" s="15"/>
      <c r="L18" s="492"/>
      <c r="M18" s="492"/>
      <c r="N18" s="15"/>
      <c r="O18" s="15"/>
      <c r="P18" s="15"/>
      <c r="Q18" s="507"/>
      <c r="R18" s="476" t="s">
        <v>192</v>
      </c>
      <c r="S18" s="494">
        <v>0.4</v>
      </c>
      <c r="T18" s="495">
        <v>1</v>
      </c>
      <c r="U18" s="24"/>
      <c r="V18" s="24"/>
      <c r="W18" s="15"/>
      <c r="X18" s="15"/>
      <c r="Y18" s="15"/>
      <c r="AB18" s="15"/>
      <c r="AC18" s="15"/>
    </row>
    <row r="19" spans="1:29" s="27" customFormat="1" ht="15" customHeight="1" x14ac:dyDescent="0.25">
      <c r="A19" s="104"/>
      <c r="E19" s="15" t="str">
        <f>IFERROR(
     IF($C$6*(1-$C$8)&gt;
          S23,
          "Мax сумма кредита " &amp;CHAR(10)&amp; TEXT(S23,"# ##0") &amp; " руб.",
     IF($C$6*(1-$C$8)&lt;
          $S$24,
          "Мin сумма кредита " &amp;CHAR(10)&amp; TEXT($S$24,"# ##0")&amp; " руб.","")),
"Неверный тип залога")</f>
        <v>Мin сумма кредита 
17 500 000 руб.</v>
      </c>
      <c r="G19" s="15"/>
      <c r="H19" s="15"/>
      <c r="I19" s="15"/>
      <c r="J19" s="15"/>
      <c r="K19" s="15"/>
      <c r="L19" s="492"/>
      <c r="M19" s="492"/>
      <c r="N19" s="15"/>
      <c r="O19" s="15"/>
      <c r="P19" s="15"/>
      <c r="Q19" s="507"/>
      <c r="R19" s="486" t="s">
        <v>216</v>
      </c>
      <c r="S19" s="487">
        <v>30000000</v>
      </c>
      <c r="T19" s="487">
        <v>15000000</v>
      </c>
      <c r="U19" s="24"/>
      <c r="V19" s="24"/>
      <c r="W19" s="15"/>
      <c r="X19" s="15"/>
      <c r="Y19" s="15"/>
      <c r="AB19" s="15"/>
      <c r="AC19" s="15"/>
    </row>
    <row r="20" spans="1:29" s="27" customFormat="1" ht="15" customHeight="1" x14ac:dyDescent="0.25">
      <c r="A20" s="104"/>
      <c r="E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507"/>
      <c r="R20" s="476" t="s">
        <v>217</v>
      </c>
      <c r="S20" s="503">
        <f>IF(G17="другие регионы",T19,S19)</f>
        <v>30000000</v>
      </c>
      <c r="T20" s="475"/>
      <c r="U20" s="24"/>
      <c r="V20" s="24"/>
      <c r="W20" s="15"/>
      <c r="X20" s="15"/>
      <c r="Y20" s="15"/>
      <c r="AB20" s="15"/>
      <c r="AC20" s="15"/>
    </row>
    <row r="21" spans="1:29" s="27" customFormat="1" ht="15" customHeight="1" x14ac:dyDescent="0.25">
      <c r="A21" s="104"/>
      <c r="E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507"/>
      <c r="R21" s="486" t="s">
        <v>215</v>
      </c>
      <c r="S21" s="487">
        <v>17500000</v>
      </c>
      <c r="T21" s="487">
        <v>9000000</v>
      </c>
      <c r="U21" s="24"/>
      <c r="V21" s="24"/>
      <c r="W21" s="15"/>
      <c r="X21" s="15"/>
      <c r="Y21" s="15"/>
      <c r="AB21" s="15"/>
      <c r="AC21" s="15"/>
    </row>
    <row r="22" spans="1:29" s="27" customFormat="1" ht="15" customHeight="1" x14ac:dyDescent="0.25">
      <c r="A22" s="104"/>
      <c r="E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4"/>
      <c r="R22" s="476" t="s">
        <v>218</v>
      </c>
      <c r="S22" s="503">
        <f>IF(G17="другие регионы",T21,S21)</f>
        <v>17500000</v>
      </c>
      <c r="T22" s="24"/>
      <c r="U22" s="24"/>
      <c r="V22" s="24"/>
      <c r="W22" s="15"/>
      <c r="X22" s="15"/>
      <c r="Y22" s="15"/>
      <c r="AB22" s="15"/>
      <c r="AC22" s="15"/>
    </row>
    <row r="23" spans="1:29" s="27" customFormat="1" ht="30" customHeight="1" x14ac:dyDescent="0.25">
      <c r="A23" s="104"/>
      <c r="E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4"/>
      <c r="R23" s="476" t="s">
        <v>217</v>
      </c>
      <c r="S23" s="510">
        <f>IF(G8&lt;=T6,S8,
IF(AND(G8&gt;=S12,G8&lt;=T12),S14,
IF(AND(G8&gt;=S18,G8&lt;=T18),S20,0)))</f>
        <v>20000000</v>
      </c>
      <c r="T23" s="511"/>
      <c r="U23" s="24"/>
      <c r="V23" s="24"/>
      <c r="W23" s="15"/>
      <c r="X23" s="15"/>
      <c r="Y23" s="15"/>
      <c r="AB23" s="15"/>
      <c r="AC23" s="15"/>
    </row>
    <row r="24" spans="1:29" s="190" customFormat="1" ht="21" customHeight="1" x14ac:dyDescent="0.25">
      <c r="A24" s="32"/>
      <c r="B24" s="553" t="s">
        <v>13</v>
      </c>
      <c r="C24" s="553" t="s">
        <v>49</v>
      </c>
      <c r="D24" s="553" t="s">
        <v>158</v>
      </c>
      <c r="E24" s="553" t="s">
        <v>162</v>
      </c>
      <c r="F24" s="553" t="s">
        <v>164</v>
      </c>
      <c r="G24" s="553" t="s">
        <v>165</v>
      </c>
      <c r="H24" s="554" t="s">
        <v>160</v>
      </c>
      <c r="I24" s="554" t="s">
        <v>163</v>
      </c>
      <c r="J24" s="553" t="s">
        <v>53</v>
      </c>
      <c r="K24" s="553"/>
      <c r="L24" s="553"/>
      <c r="M24" s="556" t="s">
        <v>57</v>
      </c>
      <c r="N24" s="557"/>
      <c r="O24" s="554" t="s">
        <v>166</v>
      </c>
      <c r="P24" s="554" t="s">
        <v>58</v>
      </c>
      <c r="Q24" s="511"/>
      <c r="R24" s="381" t="s">
        <v>218</v>
      </c>
      <c r="S24" s="382">
        <f>IF(G8&lt;=T6,S10,
IF(AND(G8&gt;=S12,G8&lt;=T12),S16,
IF(AND(G8&gt;=S18,G8&lt;=T18),S22,0)))</f>
        <v>17500000</v>
      </c>
      <c r="T24" s="24"/>
      <c r="U24" s="24"/>
      <c r="V24" s="24"/>
    </row>
    <row r="25" spans="1:29" s="191" customFormat="1" ht="45" x14ac:dyDescent="0.25">
      <c r="A25" s="25"/>
      <c r="B25" s="553"/>
      <c r="C25" s="553"/>
      <c r="D25" s="553"/>
      <c r="E25" s="553"/>
      <c r="F25" s="553"/>
      <c r="G25" s="553"/>
      <c r="H25" s="555"/>
      <c r="I25" s="555"/>
      <c r="J25" s="222" t="s">
        <v>55</v>
      </c>
      <c r="K25" s="222" t="s">
        <v>159</v>
      </c>
      <c r="L25" s="223" t="s">
        <v>51</v>
      </c>
      <c r="M25" s="378" t="s">
        <v>159</v>
      </c>
      <c r="N25" s="223" t="s">
        <v>51</v>
      </c>
      <c r="O25" s="555"/>
      <c r="P25" s="555"/>
      <c r="Q25" s="439"/>
      <c r="R25" s="439"/>
      <c r="S25" s="439"/>
      <c r="T25" s="439"/>
      <c r="U25" s="439"/>
      <c r="V25" s="439"/>
    </row>
    <row r="26" spans="1:29" s="199" customFormat="1" ht="39.75" customHeight="1" x14ac:dyDescent="0.25">
      <c r="A26" s="192" t="s">
        <v>59</v>
      </c>
      <c r="B26" s="193" t="str">
        <f>IFERROR(E26+C26,"Ошибка")</f>
        <v>Ошибка</v>
      </c>
      <c r="C26" s="193">
        <f>C8*C6</f>
        <v>6000000</v>
      </c>
      <c r="D26" s="194">
        <f ca="1">J5-J7</f>
        <v>0.05</v>
      </c>
      <c r="E26" s="193" t="str">
        <f>IF((C6*(1-C8)-F26*J26)/(1-J26)&gt;S23,"Макс сумма" &amp; CHAR(10) &amp; "превышена",(C6*(1-C8)-F26*J26)/(1-J26-C12))</f>
        <v>Макс сумма
превышена</v>
      </c>
      <c r="F26" s="193">
        <f>IF($C$4="Ипотека для IT-специалистов",IF($C$15="другие регионы",$V$3,$U$3),IF($C$15="другие регионы",$T$3,$S$3))</f>
        <v>6000000</v>
      </c>
      <c r="G26" s="193" t="str">
        <f>IFERROR(E26-F26,"Ошибка")</f>
        <v>Ошибка</v>
      </c>
      <c r="H26" s="195" t="str">
        <f ca="1">IFERROR(-PMT(D26/12,$C$9,(E26),,0),"Ошибка")</f>
        <v>Ошибка</v>
      </c>
      <c r="I26" s="196" t="str">
        <f ca="1">IFERROR(-CUMIPMT(D26/12,$C$9,E26,1,$C$9,0),"Ошибка")</f>
        <v>Ошибка</v>
      </c>
      <c r="J26" s="214">
        <f>J29</f>
        <v>0.8</v>
      </c>
      <c r="K26" s="193" t="str">
        <f>IFERROR(J26*G26,"Ошибка")</f>
        <v>Ошибка</v>
      </c>
      <c r="L26" s="197" t="str">
        <f>IFERROR(K26/B26,"Ошибка")</f>
        <v>Ошибка</v>
      </c>
      <c r="M26" s="193" t="str">
        <f>IFERROR($C$12*E26,"Ошибка")</f>
        <v>Ошибка</v>
      </c>
      <c r="N26" s="197" t="str">
        <f>IFERROR(M26/B26,"Ошибка")</f>
        <v>Ошибка</v>
      </c>
      <c r="O26" s="193" t="str">
        <f>IFERROR(K26+M26,"Ошибка")</f>
        <v>Ошибка</v>
      </c>
      <c r="P26" s="198" t="str">
        <f>IFERROR(O26/E26,"Ошибка")</f>
        <v>Ошибка</v>
      </c>
      <c r="R26" s="440"/>
      <c r="S26" s="440"/>
      <c r="T26" s="440"/>
      <c r="U26" s="440"/>
      <c r="V26" s="440"/>
    </row>
    <row r="27" spans="1:29" s="201" customFormat="1" ht="39.75" customHeight="1" x14ac:dyDescent="0.25">
      <c r="A27" s="192" t="s">
        <v>60</v>
      </c>
      <c r="B27" s="193">
        <f>(C6-F27*J27)/(1-(J27+C12)*(1-C8))</f>
        <v>32736169.205271874</v>
      </c>
      <c r="C27" s="196">
        <f>C8*B27</f>
        <v>11553942.072448898</v>
      </c>
      <c r="D27" s="200">
        <f ca="1">J5-J7</f>
        <v>0.05</v>
      </c>
      <c r="E27" s="193" t="str">
        <f>IF(B27-C27&gt;S23,"Макс сумма" &amp; CHAR(10) &amp; "превышена",B27-C27)</f>
        <v>Макс сумма
превышена</v>
      </c>
      <c r="F27" s="193">
        <f t="shared" ref="F27:F29" si="0">IF($C$4="Ипотека для IT-специалистов",IF($C$15="другие регионы",$V$3,$U$3),IF($C$15="другие регионы",$T$3,$S$3))</f>
        <v>6000000</v>
      </c>
      <c r="G27" s="193" t="str">
        <f>IFERROR(E27-F27,"Ошибка")</f>
        <v>Ошибка</v>
      </c>
      <c r="H27" s="195" t="str">
        <f ca="1">IFERROR(-PMT(D27/12,$C$9,(E27),,0),"Ошибка")</f>
        <v>Ошибка</v>
      </c>
      <c r="I27" s="196" t="str">
        <f ca="1">IFERROR(-CUMIPMT(D27/12,$C$9,E27,1,$C$9,0),"Ошибка")</f>
        <v>Ошибка</v>
      </c>
      <c r="J27" s="214">
        <f>J29</f>
        <v>0.8</v>
      </c>
      <c r="K27" s="193" t="str">
        <f>IFERROR(J27*G27,"Ошибка")</f>
        <v>Ошибка</v>
      </c>
      <c r="L27" s="197" t="str">
        <f>IFERROR(K27/B27,"Ошибка")</f>
        <v>Ошибка</v>
      </c>
      <c r="M27" s="193" t="str">
        <f>IFERROR($C$12*E27,"Ошибка")</f>
        <v>Ошибка</v>
      </c>
      <c r="N27" s="197" t="str">
        <f>IFERROR(M27/B27,"Ошибка")</f>
        <v>Ошибка</v>
      </c>
      <c r="O27" s="193" t="str">
        <f>IFERROR(K27+M27,"Ошибка")</f>
        <v>Ошибка</v>
      </c>
      <c r="P27" s="198" t="str">
        <f>IFERROR(O27/E27,"Ошибка")</f>
        <v>Ошибка</v>
      </c>
      <c r="R27" s="441"/>
      <c r="S27" s="441"/>
      <c r="T27" s="441"/>
      <c r="U27" s="441"/>
      <c r="V27" s="441"/>
    </row>
    <row r="28" spans="1:29" s="204" customFormat="1" ht="39.75" customHeight="1" x14ac:dyDescent="0.25">
      <c r="A28" s="192" t="s">
        <v>48</v>
      </c>
      <c r="B28" s="196">
        <f>IFERROR(E28+C28,"Ошибка")</f>
        <v>17000000</v>
      </c>
      <c r="C28" s="196">
        <f>C8*C6</f>
        <v>6000000</v>
      </c>
      <c r="D28" s="200">
        <f ca="1">J5-J7</f>
        <v>0.05</v>
      </c>
      <c r="E28" s="193">
        <f>IF($C$6*(1-$C$8)&gt;S23,"Макс сумма" &amp; CHAR(10) &amp; "превышена",$C$6*(1-$C$8))</f>
        <v>10999999.999999998</v>
      </c>
      <c r="F28" s="193">
        <f t="shared" si="0"/>
        <v>6000000</v>
      </c>
      <c r="G28" s="193">
        <f>IFERROR(IF(E28-F28&gt;0,E28-F28,"Комбо не требуется"),"Ошибка")</f>
        <v>4999999.9999999981</v>
      </c>
      <c r="H28" s="195">
        <f ca="1">IFERROR(-PMT(D28/12,$C$9,(E28),,0),"Ошибка")</f>
        <v>59050.378531335286</v>
      </c>
      <c r="I28" s="196">
        <f ca="1">IFERROR(-CUMIPMT(D28/12,$C$9,E28,1,$C$9,0),"Ошибка")</f>
        <v>10258136.271280704</v>
      </c>
      <c r="J28" s="214">
        <f>J29</f>
        <v>0.8</v>
      </c>
      <c r="K28" s="196">
        <f>IFERROR(J28*G28,"Ошибка")</f>
        <v>3999999.9999999986</v>
      </c>
      <c r="L28" s="202">
        <f>IFERROR(K28/B28,"Ошибка")</f>
        <v>0.23529411764705874</v>
      </c>
      <c r="M28" s="196">
        <f>IFERROR($C$12*E28,"Ошибка")</f>
        <v>1864499.9999999995</v>
      </c>
      <c r="N28" s="202">
        <f>IFERROR(M28/B28,"Ошибка")</f>
        <v>0.10967647058823526</v>
      </c>
      <c r="O28" s="196">
        <f>IFERROR(K28+M28,"Ошибка")</f>
        <v>5864499.9999999981</v>
      </c>
      <c r="P28" s="203">
        <f>IFERROR(O28/E28,"Ошибка")</f>
        <v>0.53313636363636352</v>
      </c>
    </row>
    <row r="29" spans="1:29" s="103" customFormat="1" ht="39.75" customHeight="1" x14ac:dyDescent="0.25">
      <c r="A29" s="205" t="s">
        <v>56</v>
      </c>
      <c r="B29" s="196">
        <f>IFERROR(E29+C29,"Ошибка")</f>
        <v>17000000</v>
      </c>
      <c r="C29" s="196">
        <f>C8*C6</f>
        <v>6000000</v>
      </c>
      <c r="D29" s="200">
        <f ca="1">J5+IF(AND(J3,C10="полный срок"),-$J$6+IF($C$16,0,INDEX(тарифы!$A$2:$P$1502,K14+K15+MATCH(D46,OFFSET(тарифы!$A$1,K14+K15-1,3,K17,1),-1)-2,7)),0)</f>
        <v>5.9900000000000002E-2</v>
      </c>
      <c r="E29" s="193">
        <f>IF($C$6*(1-$C$8)&gt;S23,"Макс сумма" &amp; CHAR(10) &amp; "превышена",$C$6*(1-$C$8))</f>
        <v>10999999.999999998</v>
      </c>
      <c r="F29" s="193">
        <f t="shared" si="0"/>
        <v>6000000</v>
      </c>
      <c r="G29" s="193">
        <f>IFERROR(IF(E29-F29&gt;0,E29-F29,"Комбо не требуется"),"Ошибка")</f>
        <v>4999999.9999999981</v>
      </c>
      <c r="H29" s="195">
        <f ca="1">IFERROR(-PMT(D29/12,$C$9,(E29),,0),"Ошибка")</f>
        <v>65879.85330264653</v>
      </c>
      <c r="I29" s="196">
        <f ca="1">IFERROR(-CUMIPMT(D29/12,$C$9,E29,1,$C$9,0),"Ошибка")</f>
        <v>12716747.188952751</v>
      </c>
      <c r="J29" s="214">
        <f>IF(C8&gt;=30.01%,
VLOOKUP($C$4,тарифы!$U$2:$Z$10,MATCH($C$11,тарифы!$U$1:$Z$1,0),0),
VLOOKUP($C$4,тарифы!$U$11:$Z$20,MATCH($C$11,тарифы!$U$1:$Z$1,0),0))</f>
        <v>0.8</v>
      </c>
      <c r="K29" s="196">
        <f>IFERROR(J29*G29,"Ошибка")</f>
        <v>3999999.9999999986</v>
      </c>
      <c r="L29" s="202">
        <f>IFERROR(K29/B29,"Ошибка")</f>
        <v>0.23529411764705874</v>
      </c>
      <c r="M29" s="196">
        <f>IFERROR($C$12*E29,"Ошибка")</f>
        <v>1864499.9999999995</v>
      </c>
      <c r="N29" s="202">
        <f>IFERROR(M29/B29,"Ошибка")</f>
        <v>0.10967647058823526</v>
      </c>
      <c r="O29" s="196">
        <f>IFERROR(K29+M29,"Ошибка")</f>
        <v>5864499.9999999981</v>
      </c>
      <c r="P29" s="203">
        <f>IFERROR(O29/E29,"Ошибка")</f>
        <v>0.53313636363636352</v>
      </c>
    </row>
    <row r="30" spans="1:29" s="103" customFormat="1" x14ac:dyDescent="0.25">
      <c r="E30" s="206"/>
      <c r="F30" s="206"/>
      <c r="G30" s="206"/>
      <c r="H30" s="206"/>
      <c r="I30" s="206"/>
      <c r="J30" s="206"/>
      <c r="K30" s="206"/>
    </row>
    <row r="31" spans="1:29" s="103" customFormat="1" x14ac:dyDescent="0.25">
      <c r="F31" s="206"/>
      <c r="G31" s="206"/>
      <c r="H31" s="206"/>
      <c r="I31" s="206"/>
      <c r="J31" s="206"/>
      <c r="K31" s="206"/>
    </row>
    <row r="32" spans="1:29" s="103" customFormat="1" x14ac:dyDescent="0.25">
      <c r="D32" s="14"/>
      <c r="F32" s="206"/>
      <c r="G32" s="206"/>
      <c r="H32" s="206"/>
      <c r="I32" s="206"/>
      <c r="J32" s="207"/>
      <c r="K32" s="206"/>
    </row>
    <row r="33" spans="10:10" s="103" customFormat="1" x14ac:dyDescent="0.25">
      <c r="J33" s="208"/>
    </row>
    <row r="34" spans="10:10" s="103" customFormat="1" x14ac:dyDescent="0.25"/>
    <row r="35" spans="10:10" s="103" customFormat="1" x14ac:dyDescent="0.25"/>
    <row r="36" spans="10:10" s="103" customFormat="1" x14ac:dyDescent="0.25"/>
    <row r="37" spans="10:10" s="103" customFormat="1" x14ac:dyDescent="0.25"/>
    <row r="38" spans="10:10" s="103" customFormat="1" x14ac:dyDescent="0.25">
      <c r="J38" s="14"/>
    </row>
    <row r="39" spans="10:10" s="103" customFormat="1" x14ac:dyDescent="0.25">
      <c r="J39" s="14"/>
    </row>
    <row r="40" spans="10:10" s="103" customFormat="1" x14ac:dyDescent="0.25"/>
  </sheetData>
  <sheetProtection algorithmName="SHA-512" hashValue="TCvkir13Y8Df+owbMpT6bgoCSIWspTFw5DMRQN3RvMpSQGtq+H7qsh4/SXKZ7cHbKh8XbJN4Uc/XqncQ78+FnA==" saltValue="Ci5TAwPCNxPlWDTUvdsjUA==" spinCount="100000" sheet="1" objects="1" scenarios="1"/>
  <protectedRanges>
    <protectedRange sqref="J7 C11:C12 C15:C17 C4:C9" name="Диапазон1"/>
    <protectedRange sqref="C10" name="Диапазон9"/>
    <protectedRange sqref="C10" name="Диапазон1_3"/>
  </protectedRanges>
  <mergeCells count="24">
    <mergeCell ref="O24:O25"/>
    <mergeCell ref="P24:P25"/>
    <mergeCell ref="J24:L24"/>
    <mergeCell ref="M24:N24"/>
    <mergeCell ref="E24:E25"/>
    <mergeCell ref="H24:H25"/>
    <mergeCell ref="I24:I25"/>
    <mergeCell ref="D24:D25"/>
    <mergeCell ref="C24:C25"/>
    <mergeCell ref="B24:B25"/>
    <mergeCell ref="F24:F25"/>
    <mergeCell ref="G24:G25"/>
    <mergeCell ref="C4:D4"/>
    <mergeCell ref="C5:D5"/>
    <mergeCell ref="C6:D6"/>
    <mergeCell ref="C8:D8"/>
    <mergeCell ref="C9:D9"/>
    <mergeCell ref="C7:D7"/>
    <mergeCell ref="C10:D10"/>
    <mergeCell ref="C11:D11"/>
    <mergeCell ref="C12:D12"/>
    <mergeCell ref="C14:D14"/>
    <mergeCell ref="C15:D15"/>
    <mergeCell ref="C13:D13"/>
  </mergeCells>
  <conditionalFormatting sqref="E8">
    <cfRule type="expression" dxfId="14" priority="8">
      <formula>$E$8&lt;&gt;""</formula>
    </cfRule>
  </conditionalFormatting>
  <conditionalFormatting sqref="E14">
    <cfRule type="expression" dxfId="13" priority="5">
      <formula>$C$10&lt;&gt;"полный срок"</formula>
    </cfRule>
  </conditionalFormatting>
  <conditionalFormatting sqref="C12:D12">
    <cfRule type="expression" dxfId="12" priority="104">
      <formula>$E12="Выберите размер субсидии"</formula>
    </cfRule>
  </conditionalFormatting>
  <conditionalFormatting sqref="B14:D14">
    <cfRule type="expression" dxfId="11" priority="4">
      <formula>$C$10="полный срок"</formula>
    </cfRule>
  </conditionalFormatting>
  <conditionalFormatting sqref="B13:D13">
    <cfRule type="expression" dxfId="10" priority="3">
      <formula>$C$10&lt;&gt;"полный срок"</formula>
    </cfRule>
  </conditionalFormatting>
  <conditionalFormatting sqref="E26:E29">
    <cfRule type="containsText" dxfId="9" priority="2" operator="containsText" text="сумма">
      <formula>NOT(ISERROR(SEARCH("сумма",E26)))</formula>
    </cfRule>
  </conditionalFormatting>
  <conditionalFormatting sqref="E7">
    <cfRule type="expression" dxfId="8" priority="1">
      <formula>$E$8&lt;&gt;""</formula>
    </cfRule>
  </conditionalFormatting>
  <dataValidations count="4">
    <dataValidation type="list" allowBlank="1" showInputMessage="1" showErrorMessage="1" sqref="C15">
      <formula1>"Мск, МО, Спб, ЛО,другие регионы"</formula1>
    </dataValidation>
    <dataValidation type="list" allowBlank="1" showInputMessage="1" showErrorMessage="1" sqref="C10:D10">
      <formula1>"полный срок,6,12,24,36,48,60"</formula1>
    </dataValidation>
    <dataValidation allowBlank="1" showInputMessage="1" sqref="C14:D14"/>
    <dataValidation type="list" allowBlank="1" showInputMessage="1" showErrorMessage="1" sqref="C11:D11">
      <formula1>"без отсрочки"</formula1>
    </dataValidation>
  </dataValidations>
  <pageMargins left="0.7" right="0.7" top="0.75" bottom="0.75" header="0.3" footer="0.3"/>
  <pageSetup paperSize="9" orientation="portrait" r:id="rId1"/>
  <ignoredErrors>
    <ignoredError sqref="B2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47625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OFFSET(тарифы!$R$1,MATCH($C$4,тарифы!$R$2:$R$15,0),1,COUNTIF(тарифы!$R$2:$R$15,$C$4),1)</xm:f>
          </x14:formula1>
          <xm:sqref>C5</xm:sqref>
        </x14:dataValidation>
        <x14:dataValidation type="list" allowBlank="1" showInputMessage="1" showErrorMessage="1">
          <x14:formula1>
            <xm:f>тарифы!$U$4</xm:f>
          </x14:formula1>
          <xm:sqref>C4:D4</xm:sqref>
        </x14:dataValidation>
        <x14:dataValidation type="list" allowBlank="1" showInputMessage="1" showErrorMessage="1">
          <x14:formula1>
            <xm:f>OFFSET(данные!A1,IF(J3,N6-1,0),IF(J3,N4,4),1,IF(J3,N5,0))</xm:f>
          </x14:formula1>
          <xm:sqref>C12:D12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AI29"/>
  <sheetViews>
    <sheetView showGridLines="0" zoomScale="85" zoomScaleNormal="85" workbookViewId="0">
      <selection activeCell="P28" sqref="P28"/>
    </sheetView>
  </sheetViews>
  <sheetFormatPr defaultRowHeight="11.25" x14ac:dyDescent="0.15"/>
  <cols>
    <col min="1" max="1" width="18.7109375" style="158" customWidth="1"/>
    <col min="2" max="2" width="30.85546875" style="1" customWidth="1"/>
    <col min="3" max="3" width="18.85546875" style="1" customWidth="1"/>
    <col min="4" max="4" width="14.42578125" style="158" customWidth="1"/>
    <col min="5" max="5" width="16.42578125" style="158" bestFit="1" customWidth="1"/>
    <col min="6" max="6" width="16.85546875" style="158" customWidth="1"/>
    <col min="7" max="8" width="18.28515625" style="158" customWidth="1"/>
    <col min="9" max="9" width="17.85546875" style="158" customWidth="1"/>
    <col min="10" max="10" width="15.42578125" style="158" customWidth="1"/>
    <col min="11" max="11" width="14" style="158" customWidth="1"/>
    <col min="12" max="12" width="15.42578125" style="167" customWidth="1"/>
    <col min="13" max="13" width="10.140625" style="167" customWidth="1"/>
    <col min="14" max="14" width="9.140625" style="167"/>
    <col min="15" max="15" width="11.28515625" style="167" bestFit="1" customWidth="1"/>
    <col min="16" max="16" width="12" style="167" customWidth="1"/>
    <col min="17" max="18" width="11.5703125" style="167" customWidth="1"/>
    <col min="19" max="19" width="8.42578125" style="167" bestFit="1" customWidth="1"/>
    <col min="20" max="25" width="9.140625" style="167"/>
    <col min="26" max="16384" width="9.140625" style="1"/>
  </cols>
  <sheetData>
    <row r="1" spans="1:35" ht="9.9499999999999993" customHeight="1" x14ac:dyDescent="0.15">
      <c r="A1" s="34"/>
      <c r="E1" s="178"/>
      <c r="F1" s="34"/>
      <c r="G1" s="34"/>
      <c r="H1" s="24"/>
      <c r="I1" s="24"/>
      <c r="J1" s="24"/>
      <c r="K1" s="24"/>
      <c r="L1" s="168"/>
      <c r="M1" s="446"/>
      <c r="N1" s="475"/>
      <c r="O1" s="476" t="s">
        <v>203</v>
      </c>
      <c r="P1" s="476"/>
      <c r="Q1" s="477" t="s">
        <v>204</v>
      </c>
      <c r="R1" s="478"/>
      <c r="S1" s="512"/>
      <c r="T1" s="512"/>
      <c r="U1" s="168"/>
      <c r="V1" s="513" t="s">
        <v>208</v>
      </c>
      <c r="W1" s="183">
        <f>MATCH($C$4,тарифы!$A$2:$A$1502,0)</f>
        <v>9</v>
      </c>
      <c r="Z1" s="168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24" customHeight="1" x14ac:dyDescent="0.15">
      <c r="A2" s="34"/>
      <c r="B2" s="211" t="s">
        <v>53</v>
      </c>
      <c r="F2" s="34"/>
      <c r="G2" s="373"/>
      <c r="H2" s="24"/>
      <c r="I2" s="24"/>
      <c r="J2" s="24"/>
      <c r="K2" s="24"/>
      <c r="L2" s="168"/>
      <c r="M2" s="475"/>
      <c r="N2" s="482"/>
      <c r="O2" s="483" t="s">
        <v>202</v>
      </c>
      <c r="P2" s="483" t="s">
        <v>207</v>
      </c>
      <c r="Q2" s="483" t="s">
        <v>202</v>
      </c>
      <c r="R2" s="483" t="s">
        <v>119</v>
      </c>
      <c r="S2" s="478"/>
      <c r="T2" s="512"/>
      <c r="U2" s="168"/>
      <c r="V2" s="513" t="s">
        <v>209</v>
      </c>
      <c r="W2" s="183">
        <f ca="1">MATCH(C5,OFFSET(тарифы!$A$1,W1,1,COUNTIF(тарифы!$A$2:$A$1502,C4),1),0)</f>
        <v>1</v>
      </c>
      <c r="Z2" s="168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s="370" customFormat="1" ht="12" x14ac:dyDescent="0.2">
      <c r="A3" s="369"/>
      <c r="D3" s="371"/>
      <c r="E3" s="371"/>
      <c r="F3" s="369"/>
      <c r="G3" s="368"/>
      <c r="H3" s="442"/>
      <c r="I3" s="442"/>
      <c r="J3" s="442"/>
      <c r="K3" s="442"/>
      <c r="L3" s="442"/>
      <c r="M3" s="482"/>
      <c r="N3" s="486" t="s">
        <v>214</v>
      </c>
      <c r="O3" s="487">
        <v>12000000</v>
      </c>
      <c r="P3" s="487">
        <v>6000000</v>
      </c>
      <c r="Q3" s="488">
        <v>18000000</v>
      </c>
      <c r="R3" s="489">
        <v>9000000</v>
      </c>
      <c r="S3" s="514"/>
      <c r="T3" s="515"/>
      <c r="U3" s="442"/>
      <c r="V3" s="513" t="s">
        <v>210</v>
      </c>
      <c r="W3" s="183">
        <f ca="1">MATCH(C14,OFFSET(тарифы!$A$1,W1,7,COUNTIF(тарифы!$A$2:$A$502,C4),1),0)</f>
        <v>2</v>
      </c>
      <c r="X3" s="372"/>
      <c r="Y3" s="372"/>
      <c r="Z3" s="442"/>
      <c r="AA3" s="372"/>
      <c r="AB3" s="372"/>
      <c r="AC3" s="372"/>
      <c r="AD3" s="372"/>
      <c r="AE3" s="372"/>
      <c r="AF3" s="372"/>
      <c r="AG3" s="372"/>
      <c r="AH3" s="372"/>
      <c r="AI3" s="372"/>
    </row>
    <row r="4" spans="1:35" s="167" customFormat="1" ht="15" customHeight="1" x14ac:dyDescent="0.15">
      <c r="A4" s="34"/>
      <c r="B4" s="231" t="s">
        <v>25</v>
      </c>
      <c r="C4" s="560" t="s">
        <v>10</v>
      </c>
      <c r="D4" s="560"/>
      <c r="E4" s="171"/>
      <c r="F4" s="34"/>
      <c r="G4" s="373"/>
      <c r="H4" s="168"/>
      <c r="I4" s="168"/>
      <c r="J4" s="168"/>
      <c r="K4" s="168"/>
      <c r="L4" s="168"/>
      <c r="M4" s="475"/>
      <c r="N4" s="486" t="s">
        <v>205</v>
      </c>
      <c r="O4" s="487">
        <f>IF(C4="Семейная ипотека",IF(OR(C12="Мск",C12="МО",C12="Спб",C12="ЛО"),O3,P3),
IF(C4="ИТ-ипотека",IF(OR(C12="Мск",C12="МО",C12="Спб",C12="ЛО"),Q3,R3)))</f>
        <v>12000000</v>
      </c>
      <c r="P4" s="475"/>
      <c r="Q4" s="475"/>
      <c r="R4" s="478"/>
      <c r="S4" s="478"/>
      <c r="T4" s="512"/>
      <c r="U4" s="168"/>
      <c r="V4" s="513" t="s">
        <v>211</v>
      </c>
      <c r="W4" s="183">
        <f>COUNTIFS(тарифы!$A:$A,C4,тарифы!B:B,C5,тарифы!H:H,C14)</f>
        <v>1</v>
      </c>
      <c r="Z4" s="168"/>
    </row>
    <row r="5" spans="1:35" s="167" customFormat="1" ht="15" customHeight="1" x14ac:dyDescent="0.15">
      <c r="A5" s="34"/>
      <c r="B5" s="232" t="s">
        <v>9</v>
      </c>
      <c r="C5" s="558" t="s">
        <v>14</v>
      </c>
      <c r="D5" s="558"/>
      <c r="E5" s="337" t="str">
        <f ca="1">IF(ISERROR(INDEX(тарифы!$A$2:$P$1502,W1+W2+MATCH(W5,OFFSET(тарифы!$A$1,W1+W2-1,3,W4,1),-1)-2,6)+IF($C$13,INDEX(тарифы!$A$2:$P$1502,W1+W2+MATCH(W5,OFFSET(тарифы!$A$1,W1+W2-1,3,W4,1),-1)-2,7),0)+IF($C$14,INDEX(тарифы!$A$2:$P$1502,W1+W2+MATCH(W5,OFFSET(тарифы!$A$1,W1+W2-1,3,W4,1),-1)-2,8),0)),"выберите корректный тип залога","")</f>
        <v/>
      </c>
      <c r="G5" s="373"/>
      <c r="H5" s="168"/>
      <c r="I5" s="168"/>
      <c r="J5" s="168"/>
      <c r="K5" s="168"/>
      <c r="L5" s="168"/>
      <c r="M5" s="475"/>
      <c r="N5" s="168"/>
      <c r="O5" s="168"/>
      <c r="P5" s="168"/>
      <c r="Q5" s="168"/>
      <c r="R5" s="168"/>
      <c r="S5" s="478"/>
      <c r="T5" s="512"/>
      <c r="U5" s="168"/>
      <c r="V5" s="513" t="s">
        <v>212</v>
      </c>
      <c r="W5" s="516">
        <f ca="1">OFFSET(тарифы!$A$1,W1+W2-1,3,W4,1)</f>
        <v>0.8</v>
      </c>
      <c r="Z5" s="168"/>
    </row>
    <row r="6" spans="1:35" s="167" customFormat="1" ht="15" customHeight="1" x14ac:dyDescent="0.15">
      <c r="A6" s="34"/>
      <c r="B6" s="232" t="s">
        <v>13</v>
      </c>
      <c r="C6" s="561">
        <v>30250000</v>
      </c>
      <c r="D6" s="561"/>
      <c r="E6" s="376"/>
      <c r="F6" s="337"/>
      <c r="G6" s="373"/>
      <c r="H6" s="168"/>
      <c r="I6" s="168"/>
      <c r="J6" s="168"/>
      <c r="K6" s="168"/>
      <c r="L6" s="168"/>
      <c r="M6" s="475"/>
      <c r="N6" s="476" t="s">
        <v>192</v>
      </c>
      <c r="O6" s="494">
        <v>0.3</v>
      </c>
      <c r="P6" s="495">
        <v>0.34989999999999999</v>
      </c>
      <c r="Q6" s="496"/>
      <c r="R6" s="496"/>
      <c r="S6" s="496"/>
      <c r="T6" s="168"/>
      <c r="U6" s="168"/>
      <c r="V6" s="473" t="s">
        <v>213</v>
      </c>
      <c r="W6" s="499">
        <f ca="1">OFFSET(тарифы!$A$1,W1+W2+W3-2,11,W4,1)</f>
        <v>300000</v>
      </c>
      <c r="Z6" s="168"/>
    </row>
    <row r="7" spans="1:35" s="167" customFormat="1" ht="15" customHeight="1" x14ac:dyDescent="0.15">
      <c r="A7" s="34"/>
      <c r="B7" s="232" t="s">
        <v>133</v>
      </c>
      <c r="C7" s="561">
        <v>12575000</v>
      </c>
      <c r="D7" s="561"/>
      <c r="E7" s="376" t="str">
        <f>IF(C8&lt;O6,"min ПВ от " &amp; TEXT(C6*O6,"# ###")&amp; " руб.","")</f>
        <v/>
      </c>
      <c r="F7" s="337"/>
      <c r="G7" s="373"/>
      <c r="H7" s="168"/>
      <c r="I7" s="168"/>
      <c r="J7" s="168"/>
      <c r="K7" s="168"/>
      <c r="L7" s="168"/>
      <c r="M7" s="500"/>
      <c r="N7" s="486" t="s">
        <v>216</v>
      </c>
      <c r="O7" s="487">
        <v>20000000</v>
      </c>
      <c r="P7" s="487">
        <v>10000000</v>
      </c>
      <c r="Q7" s="501"/>
      <c r="R7" s="496"/>
      <c r="S7" s="496"/>
      <c r="T7" s="168"/>
      <c r="U7" s="168"/>
      <c r="V7" s="168"/>
      <c r="W7" s="168"/>
      <c r="Z7" s="168"/>
    </row>
    <row r="8" spans="1:35" s="167" customFormat="1" ht="15" customHeight="1" x14ac:dyDescent="0.15">
      <c r="B8" s="232" t="s">
        <v>50</v>
      </c>
      <c r="C8" s="562">
        <f>C7/C6</f>
        <v>0.41570247933884297</v>
      </c>
      <c r="D8" s="562"/>
      <c r="E8" s="377" t="str">
        <f>IF(C8&lt;O6,"ПВ должен быть от "&amp; TEXT(O6,"0,00%"),"")</f>
        <v/>
      </c>
      <c r="F8" s="34"/>
      <c r="G8" s="373"/>
      <c r="H8" s="168"/>
      <c r="I8" s="168"/>
      <c r="J8" s="168"/>
      <c r="K8" s="168"/>
      <c r="L8" s="168"/>
      <c r="M8" s="500"/>
      <c r="N8" s="476" t="s">
        <v>217</v>
      </c>
      <c r="O8" s="503">
        <f>IF(C12="другие регионы",P7,O7)</f>
        <v>20000000</v>
      </c>
      <c r="P8" s="475"/>
      <c r="Q8" s="501"/>
      <c r="R8" s="496"/>
      <c r="S8" s="496"/>
      <c r="T8" s="168"/>
      <c r="U8" s="168"/>
      <c r="V8" s="168"/>
      <c r="W8" s="168"/>
      <c r="Z8" s="168"/>
    </row>
    <row r="9" spans="1:35" s="167" customFormat="1" ht="15" customHeight="1" x14ac:dyDescent="0.15">
      <c r="B9" s="232" t="s">
        <v>226</v>
      </c>
      <c r="C9" s="563">
        <f>$C$6*(1-$C$8)</f>
        <v>17675000</v>
      </c>
      <c r="D9" s="563"/>
      <c r="E9" s="444" t="s">
        <v>228</v>
      </c>
      <c r="F9" s="34"/>
      <c r="G9" s="373"/>
      <c r="H9" s="168"/>
      <c r="I9" s="168"/>
      <c r="J9" s="168"/>
      <c r="K9" s="168"/>
      <c r="L9" s="168"/>
      <c r="M9" s="500"/>
      <c r="N9" s="486" t="s">
        <v>215</v>
      </c>
      <c r="O9" s="487">
        <v>17500000</v>
      </c>
      <c r="P9" s="487">
        <v>9000000</v>
      </c>
      <c r="Q9" s="501"/>
      <c r="R9" s="496"/>
      <c r="S9" s="496"/>
      <c r="T9" s="168"/>
      <c r="U9" s="168"/>
      <c r="V9" s="168"/>
      <c r="W9" s="168"/>
      <c r="Z9" s="168"/>
    </row>
    <row r="10" spans="1:35" s="167" customFormat="1" ht="15" customHeight="1" x14ac:dyDescent="0.15">
      <c r="B10" s="232" t="s">
        <v>41</v>
      </c>
      <c r="C10" s="561">
        <v>360</v>
      </c>
      <c r="D10" s="561"/>
      <c r="E10" s="172" t="str">
        <f ca="1">IFERROR(IF(C10/12&lt;OFFSET(тарифы!$A$1,W1+W2+W3-2,12,W4,1),CONCATENATE("Мин срок от ",TEXT(OFFSET(тарифы!$A$1,W1+W2+W3-2,12,W4,1),"0")," лет"),""),"Ошибка")</f>
        <v/>
      </c>
      <c r="F10" s="34"/>
      <c r="G10" s="373"/>
      <c r="H10" s="168"/>
      <c r="I10" s="168"/>
      <c r="J10" s="168"/>
      <c r="K10" s="168"/>
      <c r="L10" s="168"/>
      <c r="M10" s="504"/>
      <c r="N10" s="476" t="s">
        <v>218</v>
      </c>
      <c r="O10" s="503">
        <f>IF(C12="другие регионы",P9,O9)</f>
        <v>17500000</v>
      </c>
      <c r="P10" s="504"/>
      <c r="Q10" s="504"/>
      <c r="R10" s="496"/>
      <c r="S10" s="496"/>
      <c r="T10" s="168"/>
      <c r="U10" s="168"/>
      <c r="V10" s="168"/>
      <c r="W10" s="168"/>
      <c r="Z10" s="168"/>
    </row>
    <row r="11" spans="1:35" s="34" customFormat="1" ht="15" customHeight="1" x14ac:dyDescent="0.15">
      <c r="A11" s="167"/>
      <c r="B11" s="232" t="s">
        <v>45</v>
      </c>
      <c r="C11" s="558" t="s">
        <v>3</v>
      </c>
      <c r="D11" s="558"/>
      <c r="E11" s="172"/>
      <c r="G11" s="373"/>
      <c r="H11" s="24"/>
      <c r="I11" s="24"/>
      <c r="J11" s="24"/>
      <c r="K11" s="24"/>
      <c r="L11" s="24"/>
      <c r="M11" s="506"/>
      <c r="N11" s="506"/>
      <c r="O11" s="506"/>
      <c r="P11" s="506"/>
      <c r="Q11" s="506"/>
      <c r="R11" s="507"/>
      <c r="S11" s="507"/>
      <c r="T11" s="24"/>
      <c r="U11" s="24"/>
      <c r="V11" s="24"/>
      <c r="W11" s="24"/>
      <c r="Z11" s="24"/>
    </row>
    <row r="12" spans="1:35" s="34" customFormat="1" ht="15" customHeight="1" x14ac:dyDescent="0.15">
      <c r="B12" s="233" t="s">
        <v>54</v>
      </c>
      <c r="C12" s="559" t="s">
        <v>114</v>
      </c>
      <c r="D12" s="559"/>
      <c r="E12" s="171"/>
      <c r="G12" s="373"/>
      <c r="H12" s="24"/>
      <c r="I12" s="24"/>
      <c r="J12" s="24"/>
      <c r="K12" s="24"/>
      <c r="L12" s="24"/>
      <c r="M12" s="507"/>
      <c r="N12" s="476" t="s">
        <v>192</v>
      </c>
      <c r="O12" s="494">
        <v>0.35</v>
      </c>
      <c r="P12" s="495">
        <v>0.39989999999999998</v>
      </c>
      <c r="Q12" s="168"/>
      <c r="R12" s="508"/>
      <c r="S12" s="507"/>
      <c r="T12" s="513"/>
      <c r="U12" s="24"/>
      <c r="V12" s="24"/>
      <c r="W12" s="24"/>
      <c r="Z12" s="24"/>
    </row>
    <row r="13" spans="1:35" s="34" customFormat="1" x14ac:dyDescent="0.15">
      <c r="B13" s="24" t="s">
        <v>52</v>
      </c>
      <c r="C13" s="435" t="b">
        <v>0</v>
      </c>
      <c r="D13" s="435"/>
      <c r="E13" s="157" t="str">
        <f>IF(AND(OR(C4="Новостройка",C4="Вторичка",C4="Рефинансирование по Семейной ипотеке",C4="Рефинансирование"),C13),"Выгодная ипотека с Халвой не применима","")</f>
        <v/>
      </c>
      <c r="H13" s="24"/>
      <c r="I13" s="24"/>
      <c r="J13" s="24"/>
      <c r="K13" s="24"/>
      <c r="L13" s="24"/>
      <c r="M13" s="507"/>
      <c r="N13" s="486" t="s">
        <v>216</v>
      </c>
      <c r="O13" s="487">
        <v>26000000</v>
      </c>
      <c r="P13" s="487">
        <v>13000000</v>
      </c>
      <c r="Q13" s="496"/>
      <c r="R13" s="24"/>
      <c r="S13" s="24"/>
      <c r="T13" s="24"/>
      <c r="U13" s="24"/>
      <c r="V13" s="24"/>
      <c r="W13" s="24"/>
      <c r="Z13" s="24"/>
    </row>
    <row r="14" spans="1:35" s="34" customFormat="1" x14ac:dyDescent="0.15">
      <c r="B14" s="174" t="s">
        <v>32</v>
      </c>
      <c r="C14" s="435" t="b">
        <v>1</v>
      </c>
      <c r="D14" s="435"/>
      <c r="E14" s="175"/>
      <c r="H14" s="24"/>
      <c r="I14" s="24"/>
      <c r="J14" s="24"/>
      <c r="K14" s="24"/>
      <c r="L14" s="24"/>
      <c r="M14" s="507"/>
      <c r="N14" s="476" t="s">
        <v>217</v>
      </c>
      <c r="O14" s="503">
        <f>IF(C12="другие регионы",P13,O13)</f>
        <v>26000000</v>
      </c>
      <c r="P14" s="475"/>
      <c r="Q14" s="507"/>
      <c r="R14" s="24"/>
      <c r="S14" s="24"/>
      <c r="T14" s="24"/>
      <c r="U14" s="24"/>
      <c r="V14" s="24"/>
      <c r="W14" s="24"/>
      <c r="Z14" s="24"/>
    </row>
    <row r="15" spans="1:35" s="34" customFormat="1" x14ac:dyDescent="0.15">
      <c r="B15" s="174"/>
      <c r="C15" s="435"/>
      <c r="D15" s="435"/>
      <c r="E15" s="175"/>
      <c r="G15" s="380"/>
      <c r="H15" s="24"/>
      <c r="I15" s="24"/>
      <c r="J15" s="24"/>
      <c r="K15" s="24"/>
      <c r="L15" s="24"/>
      <c r="M15" s="507"/>
      <c r="N15" s="486" t="s">
        <v>215</v>
      </c>
      <c r="O15" s="487">
        <v>17500000</v>
      </c>
      <c r="P15" s="487">
        <v>9000000</v>
      </c>
      <c r="Q15" s="507"/>
      <c r="R15" s="24"/>
      <c r="S15" s="24"/>
      <c r="T15" s="24"/>
      <c r="U15" s="24"/>
      <c r="V15" s="24"/>
      <c r="W15" s="24"/>
      <c r="Z15" s="24"/>
    </row>
    <row r="16" spans="1:35" s="34" customFormat="1" x14ac:dyDescent="0.15">
      <c r="B16" s="174"/>
      <c r="C16" s="374"/>
      <c r="D16" s="374"/>
      <c r="E16" s="175"/>
      <c r="H16" s="24"/>
      <c r="I16" s="24"/>
      <c r="J16" s="24"/>
      <c r="K16" s="24"/>
      <c r="L16" s="24"/>
      <c r="M16" s="24"/>
      <c r="N16" s="476" t="s">
        <v>218</v>
      </c>
      <c r="O16" s="503">
        <f>IF(C12="другие регионы",P15,O15)</f>
        <v>17500000</v>
      </c>
      <c r="P16" s="24"/>
      <c r="Q16" s="24"/>
      <c r="R16" s="24"/>
      <c r="S16" s="24"/>
      <c r="T16" s="24"/>
      <c r="U16" s="24"/>
      <c r="V16" s="24"/>
      <c r="W16" s="24"/>
      <c r="Z16" s="24"/>
    </row>
    <row r="17" spans="1:26" s="34" customFormat="1" x14ac:dyDescent="0.15">
      <c r="E17" s="171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Z17" s="24"/>
    </row>
    <row r="18" spans="1:26" s="34" customFormat="1" x14ac:dyDescent="0.15">
      <c r="E18" s="171"/>
      <c r="H18" s="24"/>
      <c r="I18" s="24"/>
      <c r="J18" s="24"/>
      <c r="K18" s="24"/>
      <c r="L18" s="24"/>
      <c r="M18" s="507"/>
      <c r="N18" s="476" t="s">
        <v>192</v>
      </c>
      <c r="O18" s="494">
        <v>0.4</v>
      </c>
      <c r="P18" s="495">
        <v>1</v>
      </c>
      <c r="Q18" s="24"/>
      <c r="R18" s="24"/>
      <c r="S18" s="24"/>
      <c r="T18" s="24"/>
      <c r="U18" s="24"/>
      <c r="V18" s="24"/>
      <c r="W18" s="24"/>
      <c r="Z18" s="24"/>
    </row>
    <row r="19" spans="1:26" s="34" customFormat="1" x14ac:dyDescent="0.15">
      <c r="E19" s="171"/>
      <c r="H19" s="24"/>
      <c r="I19" s="24"/>
      <c r="J19" s="24"/>
      <c r="K19" s="24"/>
      <c r="L19" s="24"/>
      <c r="M19" s="507"/>
      <c r="N19" s="486" t="s">
        <v>216</v>
      </c>
      <c r="O19" s="487">
        <v>30000000</v>
      </c>
      <c r="P19" s="487">
        <v>15000000</v>
      </c>
      <c r="Q19" s="24"/>
      <c r="R19" s="24"/>
      <c r="S19" s="24"/>
      <c r="T19" s="24"/>
      <c r="U19" s="24"/>
      <c r="V19" s="24"/>
      <c r="W19" s="24"/>
      <c r="Z19" s="24"/>
    </row>
    <row r="20" spans="1:26" s="34" customFormat="1" x14ac:dyDescent="0.15">
      <c r="E20" s="171"/>
      <c r="H20" s="24"/>
      <c r="I20" s="24"/>
      <c r="J20" s="24"/>
      <c r="K20" s="24"/>
      <c r="L20" s="24"/>
      <c r="M20" s="507"/>
      <c r="N20" s="476" t="s">
        <v>217</v>
      </c>
      <c r="O20" s="503">
        <f>IF(C17="другие регионы",P19,O19)</f>
        <v>30000000</v>
      </c>
      <c r="P20" s="475"/>
      <c r="Q20" s="24"/>
      <c r="R20" s="24"/>
      <c r="S20" s="24"/>
      <c r="T20" s="24"/>
      <c r="U20" s="24"/>
      <c r="V20" s="24"/>
      <c r="W20" s="24"/>
      <c r="Z20" s="24"/>
    </row>
    <row r="21" spans="1:26" s="34" customFormat="1" x14ac:dyDescent="0.15">
      <c r="E21" s="171"/>
      <c r="H21" s="24"/>
      <c r="I21" s="24"/>
      <c r="J21" s="24"/>
      <c r="K21" s="24"/>
      <c r="L21" s="24"/>
      <c r="M21" s="507"/>
      <c r="N21" s="486" t="s">
        <v>215</v>
      </c>
      <c r="O21" s="487">
        <v>17500000</v>
      </c>
      <c r="P21" s="487">
        <v>9000000</v>
      </c>
      <c r="Q21" s="24"/>
      <c r="R21" s="24"/>
      <c r="S21" s="24"/>
      <c r="T21" s="24"/>
      <c r="U21" s="24"/>
      <c r="V21" s="24"/>
      <c r="W21" s="24"/>
      <c r="Z21" s="24"/>
    </row>
    <row r="22" spans="1:26" s="34" customFormat="1" x14ac:dyDescent="0.15">
      <c r="E22" s="171"/>
      <c r="H22" s="24"/>
      <c r="I22" s="24"/>
      <c r="J22" s="24"/>
      <c r="K22" s="24"/>
      <c r="L22" s="24"/>
      <c r="M22" s="24"/>
      <c r="N22" s="476" t="s">
        <v>218</v>
      </c>
      <c r="O22" s="503">
        <f>IF(C17="другие регионы",P21,O21)</f>
        <v>17500000</v>
      </c>
      <c r="P22" s="24"/>
      <c r="Q22" s="24"/>
      <c r="R22" s="24"/>
      <c r="S22" s="24"/>
      <c r="T22" s="24"/>
      <c r="U22" s="24"/>
      <c r="V22" s="24"/>
      <c r="W22" s="24"/>
      <c r="Z22" s="24"/>
    </row>
    <row r="23" spans="1:26" s="34" customFormat="1" ht="39.75" customHeight="1" x14ac:dyDescent="0.15">
      <c r="D23" s="379"/>
      <c r="F23" s="437"/>
      <c r="G23" s="379"/>
      <c r="H23" s="24"/>
      <c r="I23" s="24"/>
      <c r="J23" s="24"/>
      <c r="K23" s="24"/>
      <c r="L23" s="24"/>
      <c r="M23" s="24"/>
      <c r="N23" s="476" t="s">
        <v>217</v>
      </c>
      <c r="O23" s="510">
        <f>IF(C8&lt;=P6,O8,
IF(AND(C8&gt;=O12,C8&lt;=P12),O14,
IF(AND(C8&gt;=O18,C8&lt;=P18),O20,0)))</f>
        <v>30000000</v>
      </c>
      <c r="P23" s="24"/>
      <c r="Q23" s="24"/>
      <c r="R23" s="24"/>
      <c r="S23" s="24"/>
      <c r="T23" s="24"/>
      <c r="U23" s="24"/>
      <c r="V23" s="24"/>
      <c r="W23" s="24"/>
      <c r="Z23" s="24"/>
    </row>
    <row r="24" spans="1:26" ht="39.75" customHeight="1" x14ac:dyDescent="0.15">
      <c r="A24" s="171"/>
      <c r="B24" s="220" t="s">
        <v>13</v>
      </c>
      <c r="C24" s="220" t="s">
        <v>49</v>
      </c>
      <c r="D24" s="220" t="s">
        <v>33</v>
      </c>
      <c r="E24" s="220" t="s">
        <v>162</v>
      </c>
      <c r="F24" s="220" t="s">
        <v>164</v>
      </c>
      <c r="G24" s="220" t="s">
        <v>165</v>
      </c>
      <c r="H24" s="220" t="s">
        <v>160</v>
      </c>
      <c r="I24" s="220" t="s">
        <v>55</v>
      </c>
      <c r="J24" s="220" t="s">
        <v>159</v>
      </c>
      <c r="K24" s="221" t="s">
        <v>51</v>
      </c>
      <c r="M24" s="511"/>
      <c r="N24" s="381" t="s">
        <v>218</v>
      </c>
      <c r="O24" s="382">
        <f>IF(C8&lt;=P6,O10,
IF(AND(C8&gt;=O12,C8&lt;=P12),O16,
IF(AND(C8&gt;=O18,C8&lt;=P18),O22,0)))</f>
        <v>17500000</v>
      </c>
      <c r="P24" s="168"/>
      <c r="Q24" s="168"/>
      <c r="R24" s="168"/>
      <c r="S24" s="168"/>
      <c r="T24" s="168"/>
      <c r="U24" s="168"/>
      <c r="V24" s="168"/>
      <c r="W24" s="168"/>
      <c r="Z24" s="168"/>
    </row>
    <row r="25" spans="1:26" ht="28.5" customHeight="1" x14ac:dyDescent="0.15">
      <c r="A25" s="180" t="s">
        <v>59</v>
      </c>
      <c r="B25" s="20" t="str">
        <f>IFERROR(E25+C25,"Ошибка")</f>
        <v>Ошибка</v>
      </c>
      <c r="C25" s="20">
        <f>C8*C6</f>
        <v>12575000</v>
      </c>
      <c r="D25" s="21">
        <f ca="1">INDEX(тарифы!$A$2:$P$1502,W1+W2+MATCH(D44,OFFSET(тарифы!$A$1,W1+W2-1,3,W4,1),-1)-2,6)+IF($C$13,0,INDEX(тарифы!$A$2:$P$1502,W1+W2+MATCH(D44,OFFSET(тарифы!$A$1,W1+W2-1,3,W4,1),-1)-2,7))+IF($C$14,INDEX(тарифы!$A$2:$P$15002,W1+W2+MATCH(D44,OFFSET(тарифы!$A$1,W1+W2-1,3,W4,1),-1)-2,8),0)+OFFSET(тарифы!$A$1,W1+W2+W3-2,8,W4,1)</f>
        <v>5.9900000000000002E-2</v>
      </c>
      <c r="E25" s="22" t="str">
        <f>IF((C6*(1-C8)-F25*I25)/(1-I25)&gt;O23,
"MAX сумма"&amp;CHAR(10)&amp;"превышена",
IF((C6*(1-C8)-F25*I25)/(1-I25)&lt;O24,
"ниже"&amp;CHAR(10)&amp;" MIN суммы",
(C6*(1-C8)-F25*I25)/(1-I25)))</f>
        <v>MAX сумма
превышена</v>
      </c>
      <c r="F25" s="20">
        <f>O4</f>
        <v>12000000</v>
      </c>
      <c r="G25" s="20" t="str">
        <f>IFERROR(E25-F25,"Ошибка")</f>
        <v>Ошибка</v>
      </c>
      <c r="H25" s="102" t="str">
        <f ca="1">IFERROR(-PMT(D25/12,$C$10,(E25),,0),"Ошибка")</f>
        <v>Ошибка</v>
      </c>
      <c r="I25" s="213">
        <f>I27</f>
        <v>0.8</v>
      </c>
      <c r="J25" s="20" t="str">
        <f>IFERROR(I25*G25,"Ошибка")</f>
        <v>Ошибка</v>
      </c>
      <c r="K25" s="156" t="str">
        <f>IFERROR(J25/B25,"Ошибка")</f>
        <v>Ошибка</v>
      </c>
      <c r="Z25" s="168"/>
    </row>
    <row r="26" spans="1:26" ht="28.5" customHeight="1" x14ac:dyDescent="0.15">
      <c r="A26" s="180" t="s">
        <v>60</v>
      </c>
      <c r="B26" s="20">
        <f>(C6-F26*I26)/(1-(I26)*(1-C8))</f>
        <v>38774829.298572309</v>
      </c>
      <c r="C26" s="20">
        <f>B26*$C$8</f>
        <v>16118792.675356919</v>
      </c>
      <c r="D26" s="21">
        <f ca="1">INDEX(тарифы!$A$2:$P$1502,W1+W2+MATCH(D44,OFFSET(тарифы!$A$1,W1+W2-1,3,W4,1),-1)-2,6)+IF($C$13,0,INDEX(тарифы!$A$2:$P$1502,W1+W2+MATCH(D44,OFFSET(тарифы!$A$1,W1+W2-1,3,W4,1),-1)-2,7))+IF($C$14,INDEX(тарифы!$A$2:$P$15002,W1+W2+MATCH(D44,OFFSET(тарифы!$A$1,W1+W2-1,3,W4,1),-1)-2,8),0)+OFFSET(тарифы!$A$1,W1+W2+W3-2,8,W4,1)</f>
        <v>5.9900000000000002E-2</v>
      </c>
      <c r="E26" s="22">
        <f>IF(B26-C26&gt;O23,
"MAX сумма"&amp;CHAR(10)&amp;"превышена",
IF(B26-C26&lt;O24,
"ниже"&amp;CHAR(10)&amp;" MIN суммы",
B26-C26))</f>
        <v>22656036.623215392</v>
      </c>
      <c r="F26" s="20">
        <f>O4</f>
        <v>12000000</v>
      </c>
      <c r="G26" s="20">
        <f>IFERROR(E26-F26,"Ошибка")</f>
        <v>10656036.623215392</v>
      </c>
      <c r="H26" s="102">
        <f ca="1">IFERROR(-PMT(D26/12,$C$10,(E26),,0),"Ошибка")</f>
        <v>135688.76083243795</v>
      </c>
      <c r="I26" s="213">
        <f>I27</f>
        <v>0.8</v>
      </c>
      <c r="J26" s="20">
        <f>IFERROR(I26*G26,"Ошибка")</f>
        <v>8524829.2985723149</v>
      </c>
      <c r="K26" s="156">
        <f>IFERROR(J26/B26,"Ошибка")</f>
        <v>0.21985472154963684</v>
      </c>
      <c r="M26" s="443"/>
    </row>
    <row r="27" spans="1:26" s="158" customFormat="1" ht="28.5" customHeight="1" x14ac:dyDescent="0.15">
      <c r="A27" s="181" t="s">
        <v>48</v>
      </c>
      <c r="B27" s="20">
        <f>IFERROR(E27+C27,"Ошибка")</f>
        <v>30250000</v>
      </c>
      <c r="C27" s="20">
        <f>C8*C6</f>
        <v>12575000</v>
      </c>
      <c r="D27" s="21">
        <f ca="1">INDEX(тарифы!$A$2:$P$1502,W1+W2+MATCH(D44,OFFSET(тарифы!$A$1,W1+W2-1,3,W4,1),-1)-2,6)+IF($C$13,0,INDEX(тарифы!$A$2:$P$1502,W1+W2+MATCH(D44,OFFSET(тарифы!$A$1,W1+W2-1,3,W4,1),-1)-2,7))+IF($C$14,INDEX(тарифы!$A$2:$P$15002,W1+W2+MATCH(D44,OFFSET(тарифы!$A$1,W1+W2-1,3,W4,1),-1)-2,8),0)+OFFSET(тарифы!$A$1,W1+W2+W3-2,8,W4,1)</f>
        <v>5.9900000000000002E-2</v>
      </c>
      <c r="E27" s="22">
        <f>IF($C$6*(1-$C$8)&gt;O23,
"MAX сумма" &amp; CHAR(10) &amp; "превышена",
IF($C$6*(1-$C$8)&lt;O24,
"ниже" &amp; CHAR(10) &amp; " MIN суммы",$C$6*(1-$C$8)))</f>
        <v>17675000</v>
      </c>
      <c r="F27" s="20">
        <f>O4</f>
        <v>12000000</v>
      </c>
      <c r="G27" s="20">
        <f>IFERROR(E27-F27,"Ошибка")</f>
        <v>5675000</v>
      </c>
      <c r="H27" s="102">
        <f ca="1">IFERROR(-PMT(D27/12,$C$10,(E27),,0),"Ошибка")</f>
        <v>105856.94610220706</v>
      </c>
      <c r="I27" s="213">
        <f>IF(C8&lt;=P6,VLOOKUP($C$4,тарифы!$U$2:$Z$10,MATCH($C$11,тарифы!$U$1:$Z$1,0),0),
IF(AND(C8&gt;=O12,C8&lt;=P12),VLOOKUP($C$4,тарифы!$U$11:$Z$20,MATCH($C$11,тарифы!$U$1:$Z$1,0),0),
IF(AND(C8&gt;=O18,C8&lt;=P18),VLOOKUP($C$4,тарифы!$U$21:$Z$30,MATCH($C$11,тарифы!$U$1:$Z$1,0),0),0)))</f>
        <v>0.8</v>
      </c>
      <c r="J27" s="20">
        <f>IFERROR(I27*G27,"Ошибка")</f>
        <v>4540000</v>
      </c>
      <c r="K27" s="156">
        <f>IFERROR(J27/B27,"Ошибка")</f>
        <v>0.15008264462809917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6" s="158" customFormat="1" x14ac:dyDescent="0.15">
      <c r="H28" s="176"/>
      <c r="I28" s="138"/>
      <c r="J28" s="177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6" s="158" customFormat="1" x14ac:dyDescent="0.15">
      <c r="B29" s="178"/>
      <c r="E29" s="375"/>
      <c r="F29" s="178"/>
      <c r="G29" s="178"/>
      <c r="H29" s="179"/>
      <c r="I29" s="179"/>
      <c r="J29" s="179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</sheetData>
  <sheetProtection algorithmName="SHA-512" hashValue="QfscSEjUxMU3LJrZUiCZ+OumoQpMc12nAPexTeVJ3/0BE4PteUbmIEHjxCoeQ7oCGFhMCScFCEJIUjWHqGBVNg==" saltValue="nKkLdttA0nEwl+Arp0VrEA==" spinCount="100000" sheet="1" objects="1" scenarios="1"/>
  <protectedRanges>
    <protectedRange sqref="C4:C8 C10:C16" name="Диапазон1"/>
  </protectedRanges>
  <mergeCells count="9">
    <mergeCell ref="C11:D11"/>
    <mergeCell ref="C12:D12"/>
    <mergeCell ref="C4:D4"/>
    <mergeCell ref="C5:D5"/>
    <mergeCell ref="C6:D6"/>
    <mergeCell ref="C8:D8"/>
    <mergeCell ref="C10:D10"/>
    <mergeCell ref="C7:D7"/>
    <mergeCell ref="C9:D9"/>
  </mergeCells>
  <conditionalFormatting sqref="E8">
    <cfRule type="expression" dxfId="7" priority="3">
      <formula>$E$8&lt;&gt;""</formula>
    </cfRule>
  </conditionalFormatting>
  <conditionalFormatting sqref="E25:E27">
    <cfRule type="containsText" dxfId="6" priority="2" operator="containsText" text="сумм">
      <formula>NOT(ISERROR(SEARCH("сумм",E25)))</formula>
    </cfRule>
  </conditionalFormatting>
  <dataValidations count="2">
    <dataValidation type="list" allowBlank="1" showInputMessage="1" showErrorMessage="1" sqref="C12">
      <formula1>"Мск, МО, Спб, ЛО,другие регионы"</formula1>
    </dataValidation>
    <dataValidation type="list" allowBlank="1" showInputMessage="1" showErrorMessage="1" sqref="C11">
      <formula1>"без отсрочки,6,12,18,24"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28575</xdr:rowOff>
                  </from>
                  <to>
                    <xdr:col>0</xdr:col>
                    <xdr:colOff>47625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OFFSET(тарифы!$R$1,MATCH($C$4,тарифы!$R$2:$R$15,0),1,COUNTIF(тарифы!$R$2:$R$15,$C$4),1)</xm:f>
          </x14:formula1>
          <xm:sqref>C5</xm:sqref>
        </x14:dataValidation>
        <x14:dataValidation type="list" allowBlank="1" showInputMessage="1" showErrorMessage="1">
          <x14:formula1>
            <xm:f>тарифы!$U$4</xm:f>
          </x14:formula1>
          <xm:sqref>C4:D4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tabColor theme="1"/>
  </sheetPr>
  <dimension ref="A1:J28"/>
  <sheetViews>
    <sheetView showGridLines="0" workbookViewId="0">
      <selection activeCell="T29" sqref="T29"/>
    </sheetView>
  </sheetViews>
  <sheetFormatPr defaultRowHeight="15" x14ac:dyDescent="0.25"/>
  <cols>
    <col min="1" max="1" width="9.140625" style="9" customWidth="1"/>
    <col min="2" max="2" width="48.42578125" customWidth="1"/>
    <col min="3" max="3" width="18.85546875" customWidth="1"/>
    <col min="4" max="4" width="17" style="9" hidden="1" customWidth="1"/>
    <col min="5" max="5" width="19.42578125" style="9" hidden="1" customWidth="1"/>
    <col min="6" max="6" width="17.7109375" style="9" customWidth="1"/>
    <col min="7" max="7" width="20.42578125" style="9" customWidth="1"/>
    <col min="8" max="8" width="25.28515625" style="9" hidden="1" customWidth="1"/>
    <col min="9" max="9" width="9.42578125" style="9" bestFit="1" customWidth="1"/>
    <col min="10" max="10" width="9.140625" style="9"/>
  </cols>
  <sheetData>
    <row r="1" spans="1:10" ht="9.9499999999999993" customHeight="1" x14ac:dyDescent="0.25"/>
    <row r="2" spans="1:10" x14ac:dyDescent="0.25">
      <c r="B2" s="211" t="s">
        <v>126</v>
      </c>
      <c r="C2" s="211"/>
      <c r="D2" s="211"/>
    </row>
    <row r="3" spans="1:10" ht="9.9499999999999993" customHeight="1" x14ac:dyDescent="0.25"/>
    <row r="4" spans="1:10" x14ac:dyDescent="0.25">
      <c r="B4" s="227" t="s">
        <v>25</v>
      </c>
      <c r="C4" s="228" t="s">
        <v>126</v>
      </c>
    </row>
    <row r="5" spans="1:10" x14ac:dyDescent="0.25">
      <c r="B5" s="229" t="s">
        <v>168</v>
      </c>
      <c r="C5" s="230">
        <v>0.249</v>
      </c>
      <c r="D5" s="6"/>
      <c r="E5" s="6"/>
    </row>
    <row r="6" spans="1:10" x14ac:dyDescent="0.25">
      <c r="B6" s="291" t="s">
        <v>34</v>
      </c>
      <c r="C6" s="292" t="b">
        <v>0</v>
      </c>
      <c r="D6" s="6" t="str">
        <f>IF(AND(OR(C4="Новостройка с господдержкой 2020",C4="Семейная ипотека",C4="Семейная ипотека ДФО",C4="Дальневосточная ипотека",C4="Рефинансирование по Семейной ипотеке",C4="Ипотека для IT-специалистов"),C6),"Услуга недоступна в кредит, необходимо снять галочку","")</f>
        <v/>
      </c>
      <c r="E6" s="6"/>
    </row>
    <row r="7" spans="1:10" s="9" customFormat="1" x14ac:dyDescent="0.25">
      <c r="A7" s="15"/>
    </row>
    <row r="8" spans="1:10" s="9" customFormat="1" x14ac:dyDescent="0.25">
      <c r="A8" s="15"/>
    </row>
    <row r="9" spans="1:10" s="9" customFormat="1" x14ac:dyDescent="0.25">
      <c r="A9" s="15"/>
    </row>
    <row r="10" spans="1:10" s="12" customFormat="1" ht="30.75" customHeight="1" x14ac:dyDescent="0.25">
      <c r="A10" s="142"/>
      <c r="B10" s="220" t="s">
        <v>167</v>
      </c>
      <c r="C10" s="220" t="s">
        <v>41</v>
      </c>
      <c r="D10" s="220" t="s">
        <v>148</v>
      </c>
      <c r="E10" s="220" t="s">
        <v>159</v>
      </c>
      <c r="F10" s="220" t="s">
        <v>158</v>
      </c>
      <c r="G10" s="220" t="s">
        <v>160</v>
      </c>
      <c r="H10" s="220" t="s">
        <v>161</v>
      </c>
      <c r="I10" s="26"/>
      <c r="J10" s="26"/>
    </row>
    <row r="11" spans="1:10" hidden="1" x14ac:dyDescent="0.25">
      <c r="A11" s="16"/>
      <c r="B11" s="536">
        <v>3000000</v>
      </c>
      <c r="C11" s="536">
        <v>180</v>
      </c>
      <c r="D11" s="101">
        <f ca="1">OFFSET(тарифы!$AI$1,MATCH($C$4,тарифы!$AI$3:$AI$55,0)+COUNTIF(тарифы!$AI$3:$AI$55,$C$4)-1,1,1,1)</f>
        <v>0</v>
      </c>
      <c r="E11" s="7">
        <f ca="1">IFERROR(IF($C$6,($B$11)/(1-D11)-($B$11),$B$11*D11),"")</f>
        <v>0</v>
      </c>
      <c r="F11" s="23">
        <f ca="1">$F$15+IFERROR(OFFSET(тарифы!$AI$1,MATCH(D11,OFFSET(тарифы!$AI$1,MATCH($C$4,тарифы!$AI$2:$AI$55,0),1,COUNTIF(тарифы!$AI$2:$AI$55,$C$4),1),0)-1+MATCH($C$4,тарифы!$AI$2:$AI$55,0),2,1,1),"выберите" &amp; CHAR(10) &amp; "корректную ставку")</f>
        <v>0.249</v>
      </c>
      <c r="G11" s="8">
        <f ca="1">IFERROR(-PMT(F11/12,$C$11,($B$11+IF($C$6,E11,0)),,0),"")</f>
        <v>63833.278085323072</v>
      </c>
      <c r="H11" s="7">
        <f ca="1">IFERROR(CUMIPMT(F11/12,$C$11,($B$11+IF($C$6,E11,0)),1,$C$11,0)-CUMIPMT($F$15/12,$C$11,($B$11),1,$C$11,0)-E11,"")</f>
        <v>0</v>
      </c>
    </row>
    <row r="12" spans="1:10" hidden="1" x14ac:dyDescent="0.25">
      <c r="A12" s="16"/>
      <c r="B12" s="537"/>
      <c r="C12" s="537"/>
      <c r="D12" s="101">
        <f ca="1">OFFSET(тарифы!$AI$1,MATCH($C$4,тарифы!$AI$3:$AI$55,0)+COUNTIF(тарифы!$AI$3:$AI$55,$C$4)-1,1,1,1)</f>
        <v>0</v>
      </c>
      <c r="E12" s="7">
        <f ca="1">IF($C$6,($B$11)/(1-D12)-($B$11),$B$11*D12)</f>
        <v>0</v>
      </c>
      <c r="F12" s="23">
        <f ca="1">$F$15+IFERROR(OFFSET(тарифы!$AI$1,MATCH(D12,OFFSET(тарифы!$AI$1,MATCH($C$4,тарифы!$AI$2:$AI$55,0),1,COUNTIF(тарифы!$AI$2:$AI$55,$C$4),1),0)-1+MATCH($C$4,тарифы!$AI$2:$AI$55,0),2,1,1),"выберите" &amp; CHAR(10) &amp; "корректную ставку")</f>
        <v>0.249</v>
      </c>
      <c r="G12" s="8">
        <f ca="1">-PMT(F12/12,$C$11,($B$11+IF($C$6,E12,0)),,0)</f>
        <v>63833.278085323072</v>
      </c>
      <c r="H12" s="7">
        <f ca="1">IFERROR(CUMIPMT(F12/12,$C$11,($B$11+IF($C$6,E12,0)),1,$C$11,0)-CUMIPMT($F$15/12,$C$11,($B$11),1,$C$11,0)-E12,"")</f>
        <v>0</v>
      </c>
    </row>
    <row r="13" spans="1:10" hidden="1" x14ac:dyDescent="0.25">
      <c r="B13" s="538"/>
      <c r="C13" s="538"/>
      <c r="D13" s="101">
        <f ca="1">OFFSET(тарифы!$AI$1,MATCH($C$4,тарифы!$AI$3:$AI$55,0)+COUNTIF(тарифы!$AI$3:$AI$55,$C$4)-2,1,1,1)</f>
        <v>0</v>
      </c>
      <c r="E13" s="7">
        <f ca="1">IF($C$6,($B$11)/(1-D13)-($B$11),$B$11*D13)</f>
        <v>0</v>
      </c>
      <c r="F13" s="23">
        <f ca="1">$F$15+IFERROR(OFFSET(тарифы!$AI$1,MATCH(D13,OFFSET(тарифы!$AI$1,MATCH($C$4,тарифы!$AI$2:$AI$55,0),1,COUNTIF(тарифы!$AI$2:$AI$55,$C$4),1),0)-1+MATCH($C$4,тарифы!$AI$2:$AI$55,0),2,1,1),"выберите" &amp; CHAR(10) &amp; "корректную ставку")</f>
        <v>0.249</v>
      </c>
      <c r="G13" s="8">
        <f ca="1">-PMT(F13/12,$C$11,($B$11+IF($C$6,E13,0)),,0)</f>
        <v>63833.278085323072</v>
      </c>
      <c r="H13" s="7">
        <f ca="1">IFERROR(CUMIPMT(F13/12,$C$11,($B$11+IF($C$6,E13,0)),1,$C$11,0)-CUMIPMT($F$15/12,$C$11,($B$11),1,$C$11,0)-E13,"")</f>
        <v>0</v>
      </c>
    </row>
    <row r="14" spans="1:10" hidden="1" x14ac:dyDescent="0.25">
      <c r="B14" s="538"/>
      <c r="C14" s="538"/>
      <c r="D14" s="101">
        <f ca="1">OFFSET(тарифы!$AI$1,MATCH($C$4,тарифы!$AI$3:$AI$55,0)+COUNTIF(тарифы!$AI$3:$AI$55,$C$4)-3,1,1,1)</f>
        <v>0</v>
      </c>
      <c r="E14" s="7">
        <f ca="1">IF($C$6,($B$11)/(1-D14)-($B$11),$B$11*D14)</f>
        <v>0</v>
      </c>
      <c r="F14" s="23">
        <f ca="1">$F$15+IFERROR(OFFSET(тарифы!$AI$1,MATCH(D14,OFFSET(тарифы!$AI$1,MATCH($C$4,тарифы!$AI$2:$AI$55,0),1,COUNTIF(тарифы!$AI$2:$AI$55,$C$4),1),0)-1+MATCH($C$4,тарифы!$AI$2:$AI$55,0),2,1,1),"выберите" &amp; CHAR(10) &amp; "корректную ставку")</f>
        <v>0.249</v>
      </c>
      <c r="G14" s="8">
        <f ca="1">-PMT(F14/12,$C$11,($B$11+IF($C$6,E14,0)),,0)</f>
        <v>63833.278085323072</v>
      </c>
      <c r="H14" s="7">
        <f ca="1">IFERROR(CUMIPMT(F14/12,$C$11,($B$11+IF($C$6,E14,0)),1,$C$11,0)-CUMIPMT($F$15/12,$C$11,($B$11),1,$C$11,0)-E14,"")</f>
        <v>0</v>
      </c>
    </row>
    <row r="15" spans="1:10" x14ac:dyDescent="0.25">
      <c r="B15" s="539"/>
      <c r="C15" s="539"/>
      <c r="D15" s="101">
        <f ca="1">OFFSET(тарифы!$AI$1,MATCH($C$4,тарифы!$AI$3:$AI$55,0)+COUNTIF(тарифы!$AI$3:$AI$55,$C$4)-4,1,1,1)</f>
        <v>0</v>
      </c>
      <c r="E15" s="7">
        <f ca="1">IF($C$6,($B$11)/(1-D15)-($B$11),$B$11*D15)</f>
        <v>0</v>
      </c>
      <c r="F15" s="23">
        <f>C5</f>
        <v>0.249</v>
      </c>
      <c r="G15" s="8">
        <f>-PMT(F15/12,$C$11,($B$11+IF($C$6,E15,0)),,0)</f>
        <v>63833.278085323072</v>
      </c>
      <c r="H15" s="7">
        <f ca="1">IFERROR(CUMIPMT(F15/12,$C$11,($B$11+IF($C$6,E15,0)),1,$C$11,0)-CUMIPMT($F$15/12,$C$11,($B$11),1,$C$11,0)-E15,"")</f>
        <v>0</v>
      </c>
    </row>
    <row r="16" spans="1:10" x14ac:dyDescent="0.25">
      <c r="B16" s="13"/>
      <c r="C16" s="13"/>
      <c r="I16" s="10"/>
    </row>
    <row r="17" spans="2:9" x14ac:dyDescent="0.25">
      <c r="B17" s="9"/>
      <c r="C17" s="9"/>
      <c r="E17" s="10"/>
      <c r="F17" s="10"/>
      <c r="G17" s="10"/>
      <c r="H17" s="10"/>
      <c r="I17" s="10"/>
    </row>
    <row r="18" spans="2:9" x14ac:dyDescent="0.25">
      <c r="B18" s="9"/>
      <c r="C18" s="9"/>
      <c r="F18" s="10"/>
      <c r="G18" s="10"/>
      <c r="H18" s="10"/>
      <c r="I18" s="10"/>
    </row>
    <row r="19" spans="2:9" x14ac:dyDescent="0.25">
      <c r="B19" s="9"/>
      <c r="C19" s="9"/>
      <c r="F19" s="10"/>
      <c r="G19" s="10"/>
      <c r="I19" s="10"/>
    </row>
    <row r="20" spans="2:9" x14ac:dyDescent="0.25">
      <c r="B20" s="9"/>
      <c r="C20" s="9"/>
    </row>
    <row r="21" spans="2:9" x14ac:dyDescent="0.25">
      <c r="B21" s="9"/>
      <c r="C21" s="9"/>
    </row>
    <row r="22" spans="2:9" x14ac:dyDescent="0.25">
      <c r="B22" s="9"/>
      <c r="C22" s="9"/>
    </row>
    <row r="23" spans="2:9" x14ac:dyDescent="0.25">
      <c r="B23" s="9"/>
      <c r="C23" s="9"/>
    </row>
    <row r="24" spans="2:9" x14ac:dyDescent="0.25">
      <c r="B24" s="9"/>
      <c r="C24" s="9"/>
    </row>
    <row r="25" spans="2:9" x14ac:dyDescent="0.25">
      <c r="B25" s="9"/>
      <c r="C25" s="9"/>
    </row>
    <row r="26" spans="2:9" x14ac:dyDescent="0.25">
      <c r="B26" s="9"/>
      <c r="C26" s="9"/>
    </row>
    <row r="27" spans="2:9" x14ac:dyDescent="0.25">
      <c r="B27" s="9"/>
      <c r="C27" s="9"/>
    </row>
    <row r="28" spans="2:9" x14ac:dyDescent="0.25">
      <c r="B28" s="9"/>
      <c r="C28" s="9"/>
    </row>
  </sheetData>
  <sheetProtection autoFilter="0"/>
  <protectedRanges>
    <protectedRange sqref="B11:C15" name="Диапазон2"/>
    <protectedRange sqref="C4:C5" name="Диапазон1"/>
    <protectedRange sqref="C6" name="Диапазон3"/>
  </protectedRanges>
  <mergeCells count="2">
    <mergeCell ref="B11:B15"/>
    <mergeCell ref="C11:C15"/>
  </mergeCells>
  <conditionalFormatting sqref="F11:F14">
    <cfRule type="expression" dxfId="5" priority="168">
      <formula>AND($D12=0%,$E11=0,$H11=0)</formula>
    </cfRule>
  </conditionalFormatting>
  <conditionalFormatting sqref="D11:D15">
    <cfRule type="expression" dxfId="4" priority="169">
      <formula>AND($D12=0%,$E12=0,$H12=0)</formula>
    </cfRule>
  </conditionalFormatting>
  <conditionalFormatting sqref="E11:E14">
    <cfRule type="expression" dxfId="3" priority="4">
      <formula>F11&lt;3.9%</formula>
    </cfRule>
  </conditionalFormatting>
  <conditionalFormatting sqref="G11:G14">
    <cfRule type="expression" dxfId="2" priority="3">
      <formula>F11&lt;3.9%</formula>
    </cfRule>
  </conditionalFormatting>
  <conditionalFormatting sqref="H11:H14">
    <cfRule type="expression" dxfId="1" priority="2">
      <formula>F11&lt;3.9%</formula>
    </cfRule>
  </conditionalFormatting>
  <conditionalFormatting sqref="H15">
    <cfRule type="expression" dxfId="0" priority="1">
      <formula>F15&lt;3.9%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7" r:id="rId4" name="Check Box 1">
              <controlPr defaultSize="0" autoFill="0" autoLine="0" autoPict="0">
                <anchor moveWithCells="1">
                  <from>
                    <xdr:col>2</xdr:col>
                    <xdr:colOff>571500</xdr:colOff>
                    <xdr:row>4</xdr:row>
                    <xdr:rowOff>228600</xdr:rowOff>
                  </from>
                  <to>
                    <xdr:col>2</xdr:col>
                    <xdr:colOff>847725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тарифы!$AG$3</xm:f>
          </x14:formula1>
          <xm:sqref>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ReadMe</vt:lpstr>
      <vt:lpstr>вводные</vt:lpstr>
      <vt:lpstr>тарифы для заполнения</vt:lpstr>
      <vt:lpstr>тарифы</vt:lpstr>
      <vt:lpstr>данные</vt:lpstr>
      <vt:lpstr>Калькулятор</vt:lpstr>
      <vt:lpstr>Снижение ставки</vt:lpstr>
      <vt:lpstr>Субсидирование+комбо</vt:lpstr>
      <vt:lpstr>Комбо</vt:lpstr>
      <vt:lpstr>ДКПЗН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Дмитрий Александрович</dc:creator>
  <cp:lastModifiedBy>Фатюшина Юлия Викторовна</cp:lastModifiedBy>
  <cp:lastPrinted>2024-04-24T05:55:17Z</cp:lastPrinted>
  <dcterms:created xsi:type="dcterms:W3CDTF">2021-12-21T20:04:45Z</dcterms:created>
  <dcterms:modified xsi:type="dcterms:W3CDTF">2024-09-17T15:20:19Z</dcterms:modified>
</cp:coreProperties>
</file>